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\Model files\"/>
    </mc:Choice>
  </mc:AlternateContent>
  <xr:revisionPtr revIDLastSave="0" documentId="10_ncr:100000_{0DC8CA28-6AB7-49F0-AC7F-8F5A320C5D6D}" xr6:coauthVersionLast="31" xr6:coauthVersionMax="31" xr10:uidLastSave="{00000000-0000-0000-0000-000000000000}"/>
  <bookViews>
    <workbookView xWindow="0" yWindow="0" windowWidth="24000" windowHeight="7950" tabRatio="653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neral Assumptions" sheetId="15" r:id="rId5"/>
    <sheet name="Calculations" sheetId="17" r:id="rId6"/>
    <sheet name="Opening Balance Sheet" sheetId="18" r:id="rId7"/>
    <sheet name="Income Statement" sheetId="19" r:id="rId8"/>
    <sheet name="Balance Sheet" sheetId="20" r:id="rId9"/>
    <sheet name="Cash Flow Statement" sheetId="21" r:id="rId10"/>
    <sheet name="Error Checks" sheetId="5" r:id="rId11"/>
    <sheet name="Timing" sheetId="6" r:id="rId12"/>
    <sheet name="Lookup" sheetId="16" r:id="rId13"/>
    <sheet name="Change Log" sheetId="9" r:id="rId14"/>
  </sheets>
  <definedNames>
    <definedName name="Balance_Sheet">'Model Parameters'!$G$57</definedName>
    <definedName name="Boolean">'Model Parameters'!$G$46</definedName>
    <definedName name="Cash_Flow_Statement">'Model Parameters'!$G$58</definedName>
    <definedName name="Client_Name">'Model Parameters'!$G$13</definedName>
    <definedName name="Currency">'Model Parameters'!$G$45</definedName>
    <definedName name="Days_in_Yr">'Model Parameters'!$G$20</definedName>
    <definedName name="Example_Reporting_Month">Timing!$H$19</definedName>
    <definedName name="HL_1">Cover!$A$3</definedName>
    <definedName name="HL_10">'Cash Flow Statement'!$A$3</definedName>
    <definedName name="HL_11">'Error Checks'!$A$3</definedName>
    <definedName name="HL_12">Timing!$A$3</definedName>
    <definedName name="HL_13">Lookup!$A$3</definedName>
    <definedName name="HL_14">'Change Log'!$A$3</definedName>
    <definedName name="HL_2">'Style Guide'!$A$3</definedName>
    <definedName name="HL_3">'Style Guide'!$A$3</definedName>
    <definedName name="HL_4">'Model Parameters'!$A$3</definedName>
    <definedName name="HL_5">'General Assumptions'!$A$3</definedName>
    <definedName name="HL_6">Calculations!$A$3</definedName>
    <definedName name="HL_7">'Opening Balance Sheet'!$A$3</definedName>
    <definedName name="HL_8">'Income Statement'!$A$3</definedName>
    <definedName name="HL_9">'Balance Sheet'!$A$3</definedName>
    <definedName name="HL_Model_Parameters">'Model Parameters'!$A$5</definedName>
    <definedName name="HL_Navigator">Navigator!$A$1</definedName>
    <definedName name="Income_Statement">'Model Parameters'!$G$56</definedName>
    <definedName name="LU_Future_Years">Lookup!$D$11:$D$15</definedName>
    <definedName name="Macro_NavHeading">Navigator!$C$7</definedName>
    <definedName name="Model_Name">'Model Parameters'!$G$12</definedName>
    <definedName name="Model_Start_Date">Timing!$H$15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Months_Per_Year">Timing!$H$23</definedName>
    <definedName name="Multiplier">'Model Parameters'!$G$51</definedName>
    <definedName name="No_of_Days">'Model Parameters'!$G$48</definedName>
    <definedName name="No_of_Years">'Model Parameters'!$G$50</definedName>
    <definedName name="Overall_Error_Check">'Error Checks'!$I$21</definedName>
    <definedName name="Percentage">'Model Parameters'!$G$47</definedName>
    <definedName name="Periodicity">Timing!$H$17</definedName>
    <definedName name="Quarters_in_Year">'Model Parameters'!$G$25</definedName>
    <definedName name="Reporting_Month_Factor">Timing!$H$21</definedName>
    <definedName name="Rounding_Accuracy">'Model Parameters'!$G$27</definedName>
    <definedName name="Thousand">'Model Parameters'!$G$32</definedName>
    <definedName name="Unit">'Model Parameters'!$G$44</definedName>
    <definedName name="Very_Large_Number">'Model Parameters'!$G$29</definedName>
    <definedName name="Very_Small_Number">'Model Parameters'!$G$30</definedName>
    <definedName name="Year">'Model Parameters'!$G$49</definedName>
  </definedNames>
  <calcPr calcId="179017"/>
</workbook>
</file>

<file path=xl/calcChain.xml><?xml version="1.0" encoding="utf-8"?>
<calcChain xmlns="http://schemas.openxmlformats.org/spreadsheetml/2006/main">
  <c r="K27" i="20" l="1"/>
  <c r="L27" i="20"/>
  <c r="M27" i="20"/>
  <c r="N27" i="20"/>
  <c r="J27" i="20"/>
  <c r="K39" i="18" l="1"/>
  <c r="K37" i="18"/>
  <c r="K32" i="18"/>
  <c r="K22" i="18"/>
  <c r="K24" i="18" s="1"/>
  <c r="K41" i="18" s="1"/>
  <c r="K49" i="18" s="1"/>
  <c r="K50" i="18" s="1"/>
  <c r="K17" i="18"/>
  <c r="D10" i="16" l="1"/>
  <c r="O60" i="17"/>
  <c r="O59" i="17"/>
  <c r="O58" i="17"/>
  <c r="O57" i="17"/>
  <c r="H12" i="16"/>
  <c r="P41" i="17"/>
  <c r="P49" i="17"/>
  <c r="P43" i="17"/>
  <c r="P53" i="17"/>
  <c r="H11" i="16"/>
  <c r="P45" i="17"/>
  <c r="P57" i="17"/>
  <c r="P60" i="17"/>
  <c r="H13" i="16"/>
  <c r="P58" i="17"/>
  <c r="H14" i="16"/>
  <c r="P51" i="17"/>
  <c r="P42" i="17"/>
  <c r="P59" i="17"/>
  <c r="A4" i="15" l="1"/>
  <c r="A4" i="2"/>
  <c r="A4" i="17" l="1"/>
  <c r="B6" i="16"/>
  <c r="G57" i="21" l="1"/>
  <c r="G58" i="21"/>
  <c r="D54" i="21"/>
  <c r="F53" i="21"/>
  <c r="F52" i="21"/>
  <c r="F47" i="21"/>
  <c r="F46" i="21"/>
  <c r="F45" i="21"/>
  <c r="E43" i="21"/>
  <c r="E35" i="21"/>
  <c r="E27" i="21"/>
  <c r="E22" i="21"/>
  <c r="G54" i="21"/>
  <c r="G53" i="21"/>
  <c r="G52" i="21"/>
  <c r="G50" i="21"/>
  <c r="G49" i="21"/>
  <c r="G47" i="21"/>
  <c r="G46" i="21"/>
  <c r="G45" i="21"/>
  <c r="G44" i="21"/>
  <c r="G43" i="21"/>
  <c r="G40" i="21"/>
  <c r="G37" i="21"/>
  <c r="G35" i="21"/>
  <c r="G34" i="21"/>
  <c r="G33" i="21"/>
  <c r="G32" i="21"/>
  <c r="G31" i="21"/>
  <c r="G30" i="21"/>
  <c r="G27" i="21"/>
  <c r="G26" i="21"/>
  <c r="G25" i="21"/>
  <c r="G17" i="21"/>
  <c r="G18" i="21"/>
  <c r="G19" i="21"/>
  <c r="G20" i="21"/>
  <c r="G21" i="21"/>
  <c r="G22" i="21"/>
  <c r="G16" i="21"/>
  <c r="C9" i="21"/>
  <c r="C8" i="21"/>
  <c r="C7" i="21"/>
  <c r="C6" i="21"/>
  <c r="G56" i="20"/>
  <c r="G57" i="20"/>
  <c r="G55" i="20"/>
  <c r="D57" i="20"/>
  <c r="D56" i="20"/>
  <c r="D55" i="20"/>
  <c r="C53" i="20"/>
  <c r="C50" i="20"/>
  <c r="D49" i="20"/>
  <c r="E48" i="20"/>
  <c r="E47" i="20"/>
  <c r="D45" i="20"/>
  <c r="C44" i="20"/>
  <c r="C41" i="20"/>
  <c r="C39" i="20"/>
  <c r="D37" i="20"/>
  <c r="D36" i="20"/>
  <c r="D35" i="20"/>
  <c r="C34" i="20"/>
  <c r="D32" i="20"/>
  <c r="D31" i="20"/>
  <c r="D30" i="20"/>
  <c r="D29" i="20"/>
  <c r="D28" i="20"/>
  <c r="D27" i="20"/>
  <c r="C26" i="20"/>
  <c r="C24" i="20"/>
  <c r="D22" i="20"/>
  <c r="D21" i="20"/>
  <c r="D20" i="20"/>
  <c r="C19" i="20"/>
  <c r="D17" i="20"/>
  <c r="D16" i="20"/>
  <c r="D15" i="20"/>
  <c r="D14" i="20"/>
  <c r="C13" i="20"/>
  <c r="G50" i="20"/>
  <c r="G49" i="20"/>
  <c r="G48" i="20"/>
  <c r="G47" i="20"/>
  <c r="G46" i="20"/>
  <c r="G45" i="20"/>
  <c r="G41" i="20"/>
  <c r="G39" i="20"/>
  <c r="G37" i="20"/>
  <c r="G36" i="20"/>
  <c r="G35" i="20"/>
  <c r="G32" i="20"/>
  <c r="G31" i="20"/>
  <c r="G30" i="20"/>
  <c r="G29" i="20"/>
  <c r="G28" i="20"/>
  <c r="G27" i="20"/>
  <c r="G24" i="20"/>
  <c r="G22" i="20"/>
  <c r="G21" i="20"/>
  <c r="G20" i="20"/>
  <c r="G15" i="20"/>
  <c r="G16" i="20"/>
  <c r="G17" i="20"/>
  <c r="G14" i="20"/>
  <c r="C7" i="20"/>
  <c r="C8" i="20"/>
  <c r="C9" i="20"/>
  <c r="C6" i="20"/>
  <c r="C7" i="19"/>
  <c r="C8" i="19"/>
  <c r="C9" i="19"/>
  <c r="C6" i="19"/>
  <c r="G27" i="19"/>
  <c r="G26" i="19"/>
  <c r="G24" i="19"/>
  <c r="G23" i="19"/>
  <c r="G21" i="19"/>
  <c r="G20" i="19"/>
  <c r="G18" i="19"/>
  <c r="G17" i="19"/>
  <c r="G15" i="19"/>
  <c r="G14" i="19"/>
  <c r="G13" i="19"/>
  <c r="G56" i="18"/>
  <c r="G57" i="18"/>
  <c r="G55" i="18"/>
  <c r="E57" i="21" l="1"/>
  <c r="G50" i="18"/>
  <c r="G49" i="18"/>
  <c r="G48" i="18"/>
  <c r="G47" i="18"/>
  <c r="G45" i="18"/>
  <c r="G41" i="18"/>
  <c r="G39" i="18"/>
  <c r="G37" i="18"/>
  <c r="G36" i="18"/>
  <c r="G35" i="18"/>
  <c r="G32" i="18"/>
  <c r="G31" i="18"/>
  <c r="G30" i="18"/>
  <c r="G29" i="18"/>
  <c r="G28" i="18"/>
  <c r="G27" i="18"/>
  <c r="G24" i="18"/>
  <c r="G22" i="18"/>
  <c r="G21" i="18"/>
  <c r="G20" i="18"/>
  <c r="G17" i="18"/>
  <c r="G16" i="18"/>
  <c r="G15" i="18"/>
  <c r="G14" i="18"/>
  <c r="I4" i="18"/>
  <c r="D55" i="17" l="1"/>
  <c r="G58" i="17"/>
  <c r="G59" i="17"/>
  <c r="G60" i="17"/>
  <c r="G57" i="17"/>
  <c r="G51" i="17" l="1"/>
  <c r="G49" i="17"/>
  <c r="G42" i="17"/>
  <c r="G53" i="17"/>
  <c r="G45" i="17"/>
  <c r="G43" i="17"/>
  <c r="G41" i="17"/>
  <c r="G34" i="17"/>
  <c r="G33" i="17"/>
  <c r="G32" i="17"/>
  <c r="G31" i="17"/>
  <c r="I34" i="17"/>
  <c r="G27" i="17"/>
  <c r="G25" i="17"/>
  <c r="G23" i="17"/>
  <c r="G19" i="17"/>
  <c r="G18" i="17"/>
  <c r="G17" i="17"/>
  <c r="C7" i="17"/>
  <c r="C8" i="17"/>
  <c r="C9" i="17"/>
  <c r="C6" i="17"/>
  <c r="I51" i="4"/>
  <c r="G127" i="15"/>
  <c r="G122" i="15"/>
  <c r="G121" i="15"/>
  <c r="G114" i="15"/>
  <c r="E105" i="15"/>
  <c r="E110" i="15"/>
  <c r="G110" i="15"/>
  <c r="G105" i="15"/>
  <c r="G100" i="15"/>
  <c r="G99" i="15"/>
  <c r="E97" i="15"/>
  <c r="G97" i="15"/>
  <c r="G96" i="15"/>
  <c r="G94" i="15"/>
  <c r="G90" i="15"/>
  <c r="G89" i="15"/>
  <c r="G85" i="15"/>
  <c r="E85" i="15"/>
  <c r="G78" i="15"/>
  <c r="G76" i="15"/>
  <c r="G74" i="15"/>
  <c r="G72" i="15"/>
  <c r="G68" i="15"/>
  <c r="G67" i="15"/>
  <c r="E58" i="15"/>
  <c r="G58" i="15"/>
  <c r="G57" i="15"/>
  <c r="G55" i="15"/>
  <c r="G54" i="15"/>
  <c r="G50" i="15"/>
  <c r="G43" i="15"/>
  <c r="G42" i="15"/>
  <c r="G33" i="15"/>
  <c r="G29" i="15"/>
  <c r="D31" i="15"/>
  <c r="G22" i="15"/>
  <c r="G18" i="15"/>
  <c r="G17" i="15"/>
  <c r="A1" i="9"/>
  <c r="A1" i="16"/>
  <c r="C6" i="16" s="1"/>
  <c r="A1" i="6"/>
  <c r="A1" i="5"/>
  <c r="A1" i="21"/>
  <c r="C11" i="21" s="1"/>
  <c r="C13" i="21" s="1"/>
  <c r="A1" i="20"/>
  <c r="C11" i="20" s="1"/>
  <c r="A1" i="19"/>
  <c r="C11" i="19" s="1"/>
  <c r="A1" i="18"/>
  <c r="C11" i="18" s="1"/>
  <c r="A1" i="17"/>
  <c r="C11" i="17" s="1"/>
  <c r="A1" i="15"/>
  <c r="C11" i="15" s="1"/>
  <c r="A1" i="4"/>
  <c r="A1" i="3"/>
  <c r="A1" i="2"/>
  <c r="G12" i="2"/>
  <c r="E100" i="15" l="1"/>
  <c r="C7" i="15"/>
  <c r="C8" i="15"/>
  <c r="C9" i="15"/>
  <c r="C6" i="15"/>
  <c r="B11" i="21" l="1"/>
  <c r="B11" i="20"/>
  <c r="B11" i="19"/>
  <c r="B11" i="18"/>
  <c r="I60" i="17"/>
  <c r="J57" i="17" s="1"/>
  <c r="I105" i="15"/>
  <c r="I110" i="15"/>
  <c r="K49" i="17"/>
  <c r="L49" i="17"/>
  <c r="M49" i="17"/>
  <c r="N49" i="17"/>
  <c r="J49" i="17"/>
  <c r="K42" i="17"/>
  <c r="L42" i="17"/>
  <c r="M42" i="17"/>
  <c r="N42" i="17"/>
  <c r="J42" i="17"/>
  <c r="O32" i="17"/>
  <c r="O34" i="17"/>
  <c r="O33" i="17"/>
  <c r="O31" i="17"/>
  <c r="J31" i="17"/>
  <c r="J23" i="17"/>
  <c r="K18" i="17"/>
  <c r="L18" i="17"/>
  <c r="M18" i="17"/>
  <c r="N18" i="17"/>
  <c r="J17" i="17"/>
  <c r="J27" i="21" l="1"/>
  <c r="I55" i="18" l="1"/>
  <c r="I56" i="18" l="1"/>
  <c r="I12" i="5"/>
  <c r="I57" i="18" l="1"/>
  <c r="I13" i="5"/>
  <c r="I14" i="5" l="1"/>
  <c r="J35" i="21" l="1"/>
  <c r="B11" i="17" l="1"/>
  <c r="I100" i="15"/>
  <c r="I97" i="15"/>
  <c r="I58" i="15"/>
  <c r="I55" i="15"/>
  <c r="B11" i="15"/>
  <c r="B6" i="9" l="1"/>
  <c r="C6" i="9"/>
  <c r="J9" i="6" l="1"/>
  <c r="H21" i="6"/>
  <c r="J9" i="21" l="1"/>
  <c r="J9" i="20"/>
  <c r="J46" i="20" s="1"/>
  <c r="J9" i="19"/>
  <c r="K9" i="6"/>
  <c r="J9" i="17"/>
  <c r="J19" i="17" s="1"/>
  <c r="J9" i="15"/>
  <c r="I19" i="6"/>
  <c r="G39" i="2"/>
  <c r="J6" i="6"/>
  <c r="K9" i="20" l="1"/>
  <c r="K9" i="19"/>
  <c r="K9" i="21"/>
  <c r="J6" i="21"/>
  <c r="J6" i="19"/>
  <c r="J6" i="20"/>
  <c r="J6" i="15"/>
  <c r="J6" i="17"/>
  <c r="L9" i="6"/>
  <c r="K9" i="17"/>
  <c r="K19" i="17" s="1"/>
  <c r="K9" i="15"/>
  <c r="J7" i="6"/>
  <c r="L9" i="19" l="1"/>
  <c r="L9" i="20"/>
  <c r="L9" i="21"/>
  <c r="J7" i="19"/>
  <c r="J7" i="21"/>
  <c r="J7" i="20"/>
  <c r="M9" i="6"/>
  <c r="L9" i="17"/>
  <c r="L19" i="17" s="1"/>
  <c r="L9" i="15"/>
  <c r="J41" i="17"/>
  <c r="J43" i="17" s="1"/>
  <c r="J45" i="17" s="1"/>
  <c r="J58" i="17" s="1"/>
  <c r="J32" i="17"/>
  <c r="J7" i="15"/>
  <c r="J7" i="17"/>
  <c r="J5" i="6"/>
  <c r="K6" i="6"/>
  <c r="J14" i="19" l="1"/>
  <c r="J13" i="19"/>
  <c r="J15" i="19" s="1"/>
  <c r="M9" i="20"/>
  <c r="M9" i="19"/>
  <c r="M9" i="21"/>
  <c r="J5" i="20"/>
  <c r="J5" i="19"/>
  <c r="J5" i="21"/>
  <c r="K6" i="21"/>
  <c r="K6" i="19"/>
  <c r="K6" i="20"/>
  <c r="K41" i="17"/>
  <c r="K43" i="17" s="1"/>
  <c r="K45" i="17" s="1"/>
  <c r="K58" i="17" s="1"/>
  <c r="K32" i="17"/>
  <c r="K6" i="15"/>
  <c r="K6" i="17"/>
  <c r="J5" i="15"/>
  <c r="J5" i="17"/>
  <c r="M9" i="17"/>
  <c r="M19" i="17" s="1"/>
  <c r="M9" i="15"/>
  <c r="N9" i="6"/>
  <c r="K7" i="6"/>
  <c r="D11" i="16" s="1"/>
  <c r="K14" i="19" l="1"/>
  <c r="K13" i="19"/>
  <c r="J18" i="19"/>
  <c r="J21" i="19" s="1"/>
  <c r="N9" i="21"/>
  <c r="N9" i="19"/>
  <c r="N9" i="20"/>
  <c r="K7" i="21"/>
  <c r="K7" i="19"/>
  <c r="K7" i="20"/>
  <c r="K7" i="17"/>
  <c r="N9" i="17"/>
  <c r="N19" i="17" s="1"/>
  <c r="N9" i="15"/>
  <c r="L41" i="17"/>
  <c r="L43" i="17" s="1"/>
  <c r="L45" i="17" s="1"/>
  <c r="L58" i="17" s="1"/>
  <c r="L32" i="17"/>
  <c r="K5" i="6"/>
  <c r="K7" i="15"/>
  <c r="L6" i="6"/>
  <c r="K15" i="19" l="1"/>
  <c r="L14" i="19"/>
  <c r="L13" i="19"/>
  <c r="L6" i="19"/>
  <c r="L6" i="20"/>
  <c r="L6" i="21"/>
  <c r="K5" i="19"/>
  <c r="K5" i="21"/>
  <c r="K5" i="20"/>
  <c r="M41" i="17"/>
  <c r="M43" i="17" s="1"/>
  <c r="M45" i="17" s="1"/>
  <c r="M58" i="17" s="1"/>
  <c r="M32" i="17"/>
  <c r="L6" i="15"/>
  <c r="L6" i="17"/>
  <c r="K5" i="15"/>
  <c r="K5" i="17"/>
  <c r="L7" i="6"/>
  <c r="D12" i="16" s="1"/>
  <c r="B11" i="6"/>
  <c r="L15" i="19" l="1"/>
  <c r="K18" i="19"/>
  <c r="K21" i="19" s="1"/>
  <c r="M14" i="19"/>
  <c r="M13" i="19"/>
  <c r="L7" i="21"/>
  <c r="L7" i="19"/>
  <c r="L7" i="20"/>
  <c r="N32" i="17"/>
  <c r="N41" i="17"/>
  <c r="N43" i="17" s="1"/>
  <c r="N45" i="17" s="1"/>
  <c r="N58" i="17" s="1"/>
  <c r="J37" i="20"/>
  <c r="L7" i="15"/>
  <c r="L7" i="17"/>
  <c r="L5" i="6"/>
  <c r="M6" i="6"/>
  <c r="M15" i="19" l="1"/>
  <c r="N14" i="19"/>
  <c r="N13" i="19"/>
  <c r="L18" i="19"/>
  <c r="L21" i="19" s="1"/>
  <c r="M6" i="19"/>
  <c r="M6" i="20"/>
  <c r="M6" i="21"/>
  <c r="L5" i="21"/>
  <c r="L5" i="19"/>
  <c r="L5" i="20"/>
  <c r="M6" i="15"/>
  <c r="M6" i="17"/>
  <c r="L5" i="15"/>
  <c r="L5" i="17"/>
  <c r="M7" i="6"/>
  <c r="D13" i="16" s="1"/>
  <c r="I37" i="4"/>
  <c r="N15" i="19" l="1"/>
  <c r="M7" i="20"/>
  <c r="M7" i="19"/>
  <c r="M7" i="21"/>
  <c r="K37" i="20"/>
  <c r="M7" i="15"/>
  <c r="M7" i="17"/>
  <c r="N6" i="6"/>
  <c r="M5" i="6"/>
  <c r="E21" i="5"/>
  <c r="B6" i="5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A2" i="21"/>
  <c r="B6" i="2"/>
  <c r="M18" i="19" l="1"/>
  <c r="M21" i="19" s="1"/>
  <c r="N6" i="21"/>
  <c r="N6" i="20"/>
  <c r="N6" i="19"/>
  <c r="M5" i="20"/>
  <c r="M5" i="21"/>
  <c r="M5" i="19"/>
  <c r="M5" i="15"/>
  <c r="M5" i="17"/>
  <c r="N6" i="15"/>
  <c r="N6" i="17"/>
  <c r="N7" i="6"/>
  <c r="D14" i="16" s="1"/>
  <c r="A2" i="19"/>
  <c r="A2" i="20"/>
  <c r="A2" i="17"/>
  <c r="A2" i="18"/>
  <c r="B16" i="2"/>
  <c r="B35" i="2" s="1"/>
  <c r="A2" i="15"/>
  <c r="A2" i="16"/>
  <c r="A2" i="9"/>
  <c r="A2" i="6"/>
  <c r="A2" i="2"/>
  <c r="A2" i="5"/>
  <c r="B56" i="4"/>
  <c r="A2" i="4"/>
  <c r="A2" i="3"/>
  <c r="C6" i="1"/>
  <c r="J8" i="6"/>
  <c r="K8" i="6"/>
  <c r="L8" i="6"/>
  <c r="M8" i="6"/>
  <c r="L37" i="20" l="1"/>
  <c r="L8" i="19"/>
  <c r="L8" i="21"/>
  <c r="L8" i="20"/>
  <c r="M8" i="21"/>
  <c r="M8" i="19"/>
  <c r="M8" i="20"/>
  <c r="K8" i="20"/>
  <c r="K8" i="21"/>
  <c r="K8" i="19"/>
  <c r="J8" i="19"/>
  <c r="J8" i="21"/>
  <c r="J8" i="20"/>
  <c r="N7" i="20"/>
  <c r="N7" i="19"/>
  <c r="N7" i="21"/>
  <c r="K8" i="15"/>
  <c r="K8" i="17"/>
  <c r="K51" i="17" s="1"/>
  <c r="K53" i="17" s="1"/>
  <c r="K60" i="17" s="1"/>
  <c r="N7" i="15"/>
  <c r="N7" i="17"/>
  <c r="M8" i="15"/>
  <c r="M8" i="17"/>
  <c r="M51" i="17" s="1"/>
  <c r="M53" i="17" s="1"/>
  <c r="M60" i="17" s="1"/>
  <c r="J8" i="15"/>
  <c r="J8" i="17"/>
  <c r="J51" i="17" s="1"/>
  <c r="J53" i="17" s="1"/>
  <c r="J60" i="17" s="1"/>
  <c r="L8" i="15"/>
  <c r="L8" i="17"/>
  <c r="L51" i="17" s="1"/>
  <c r="L53" i="17" s="1"/>
  <c r="L60" i="17" s="1"/>
  <c r="N8" i="6"/>
  <c r="N5" i="6"/>
  <c r="N57" i="17" l="1"/>
  <c r="N18" i="19"/>
  <c r="N21" i="19" s="1"/>
  <c r="L57" i="17"/>
  <c r="L59" i="17" s="1"/>
  <c r="M57" i="17"/>
  <c r="M59" i="17" s="1"/>
  <c r="J59" i="17"/>
  <c r="K57" i="17"/>
  <c r="K59" i="17" s="1"/>
  <c r="N5" i="20"/>
  <c r="N5" i="21"/>
  <c r="N5" i="19"/>
  <c r="N8" i="21"/>
  <c r="N8" i="19"/>
  <c r="N8" i="20"/>
  <c r="M37" i="20"/>
  <c r="N8" i="15"/>
  <c r="N8" i="17"/>
  <c r="N51" i="17" s="1"/>
  <c r="N53" i="17" s="1"/>
  <c r="N60" i="17" s="1"/>
  <c r="K25" i="17"/>
  <c r="K27" i="17" s="1"/>
  <c r="K34" i="17" s="1"/>
  <c r="K15" i="20" s="1"/>
  <c r="N5" i="15"/>
  <c r="N5" i="17"/>
  <c r="L25" i="17"/>
  <c r="L27" i="17" s="1"/>
  <c r="L34" i="17" s="1"/>
  <c r="L15" i="20" s="1"/>
  <c r="J25" i="17"/>
  <c r="J27" i="17" s="1"/>
  <c r="J34" i="17" s="1"/>
  <c r="J15" i="20" s="1"/>
  <c r="M25" i="17"/>
  <c r="M27" i="17" s="1"/>
  <c r="M34" i="17" s="1"/>
  <c r="M15" i="20" s="1"/>
  <c r="K17" i="21" l="1"/>
  <c r="J17" i="21"/>
  <c r="M17" i="21"/>
  <c r="L17" i="21"/>
  <c r="N59" i="17"/>
  <c r="N37" i="20"/>
  <c r="K31" i="17"/>
  <c r="K33" i="17" s="1"/>
  <c r="J33" i="17"/>
  <c r="L31" i="17"/>
  <c r="L33" i="17" s="1"/>
  <c r="N31" i="17"/>
  <c r="M31" i="17"/>
  <c r="M33" i="17" s="1"/>
  <c r="N25" i="17"/>
  <c r="N27" i="17" s="1"/>
  <c r="N34" i="17" s="1"/>
  <c r="N15" i="20" s="1"/>
  <c r="M19" i="21" l="1"/>
  <c r="J19" i="21"/>
  <c r="K16" i="21"/>
  <c r="K19" i="21"/>
  <c r="N17" i="21"/>
  <c r="L16" i="21"/>
  <c r="L19" i="21"/>
  <c r="M16" i="21"/>
  <c r="J16" i="21"/>
  <c r="N33" i="17"/>
  <c r="N19" i="21" l="1"/>
  <c r="N16" i="21"/>
  <c r="J22" i="21"/>
  <c r="J37" i="21" s="1"/>
  <c r="J14" i="20" s="1"/>
  <c r="J17" i="20" l="1"/>
  <c r="J24" i="19" l="1"/>
  <c r="K27" i="21" l="1"/>
  <c r="J27" i="19" l="1"/>
  <c r="K22" i="21" l="1"/>
  <c r="J47" i="20"/>
  <c r="J22" i="20" l="1"/>
  <c r="J24" i="20" s="1"/>
  <c r="J49" i="20" l="1"/>
  <c r="K35" i="21" l="1"/>
  <c r="K37" i="21" s="1"/>
  <c r="K14" i="20" s="1"/>
  <c r="K17" i="20" s="1"/>
  <c r="J32" i="20"/>
  <c r="J39" i="20" s="1"/>
  <c r="J41" i="20" s="1"/>
  <c r="K46" i="20"/>
  <c r="J50" i="20"/>
  <c r="J55" i="20" l="1"/>
  <c r="J56" i="20" s="1"/>
  <c r="J57" i="20" s="1"/>
  <c r="L27" i="21" l="1"/>
  <c r="K24" i="19" l="1"/>
  <c r="K27" i="19" l="1"/>
  <c r="L22" i="21"/>
  <c r="K47" i="20" l="1"/>
  <c r="K22" i="20" l="1"/>
  <c r="K24" i="20" s="1"/>
  <c r="K49" i="20" l="1"/>
  <c r="K50" i="20" s="1"/>
  <c r="L35" i="21"/>
  <c r="K32" i="20"/>
  <c r="K39" i="20" s="1"/>
  <c r="K41" i="20" s="1"/>
  <c r="L46" i="20" l="1"/>
  <c r="L37" i="21"/>
  <c r="L14" i="20" s="1"/>
  <c r="L17" i="20" s="1"/>
  <c r="K55" i="20"/>
  <c r="K56" i="20" s="1"/>
  <c r="K57" i="20" s="1"/>
  <c r="L24" i="19" l="1"/>
  <c r="M27" i="21"/>
  <c r="L27" i="19" l="1"/>
  <c r="L47" i="20" l="1"/>
  <c r="M22" i="21" l="1"/>
  <c r="M35" i="21"/>
  <c r="L49" i="20"/>
  <c r="M46" i="20" s="1"/>
  <c r="L22" i="20"/>
  <c r="L24" i="20" s="1"/>
  <c r="L32" i="20" l="1"/>
  <c r="L39" i="20" s="1"/>
  <c r="L41" i="20" s="1"/>
  <c r="M37" i="21"/>
  <c r="M14" i="20" s="1"/>
  <c r="L50" i="20"/>
  <c r="N27" i="21" l="1"/>
  <c r="L55" i="20"/>
  <c r="L56" i="20" s="1"/>
  <c r="L57" i="20" s="1"/>
  <c r="M17" i="20"/>
  <c r="M24" i="19" l="1"/>
  <c r="M27" i="19" l="1"/>
  <c r="N22" i="21" l="1"/>
  <c r="M47" i="20"/>
  <c r="M49" i="20" l="1"/>
  <c r="M50" i="20" s="1"/>
  <c r="M22" i="20"/>
  <c r="M24" i="20" s="1"/>
  <c r="N46" i="20" l="1"/>
  <c r="N35" i="21"/>
  <c r="N37" i="21" l="1"/>
  <c r="N14" i="20" s="1"/>
  <c r="N17" i="20" s="1"/>
  <c r="M32" i="20"/>
  <c r="M39" i="20" s="1"/>
  <c r="M41" i="20" s="1"/>
  <c r="M55" i="20" s="1"/>
  <c r="M56" i="20" s="1"/>
  <c r="M57" i="20" s="1"/>
  <c r="N24" i="19"/>
  <c r="N27" i="19" l="1"/>
  <c r="N47" i="20" l="1"/>
  <c r="N22" i="20" l="1"/>
  <c r="N24" i="20" s="1"/>
  <c r="N49" i="20" l="1"/>
  <c r="N50" i="20" s="1"/>
  <c r="N32" i="20"/>
  <c r="N39" i="20" s="1"/>
  <c r="N41" i="20" s="1"/>
  <c r="N55" i="20" l="1"/>
  <c r="N56" i="20" s="1"/>
  <c r="I56" i="20" s="1"/>
  <c r="I16" i="5" s="1"/>
  <c r="N57" i="20" l="1"/>
  <c r="I57" i="20" s="1"/>
  <c r="I17" i="5" s="1"/>
  <c r="I55" i="20"/>
  <c r="I15" i="5" s="1"/>
  <c r="I21" i="5" l="1"/>
  <c r="I4" i="2" s="1"/>
  <c r="F4" i="5" l="1"/>
  <c r="G4" i="21"/>
  <c r="G4" i="16"/>
  <c r="G4" i="19"/>
  <c r="I4" i="4"/>
  <c r="F4" i="6"/>
  <c r="F4" i="9"/>
  <c r="G4" i="17"/>
  <c r="G4" i="15"/>
  <c r="G4" i="18"/>
  <c r="G4" i="20"/>
  <c r="G4" i="3"/>
</calcChain>
</file>

<file path=xl/sharedStrings.xml><?xml version="1.0" encoding="utf-8"?>
<sst xmlns="http://schemas.openxmlformats.org/spreadsheetml/2006/main" count="366" uniqueCount="277">
  <si>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</si>
  <si>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</si>
  <si>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</si>
  <si>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</si>
  <si>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</si>
  <si>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</si>
  <si>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</si>
  <si>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</si>
  <si>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</si>
  <si>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</si>
  <si>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</si>
  <si>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</si>
  <si>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</si>
  <si>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</si>
  <si>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</si>
  <si>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</si>
  <si>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</si>
  <si>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</si>
  <si>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</si>
  <si>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</si>
  <si>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</si>
  <si>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</si>
  <si>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</si>
  <si>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</si>
  <si>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</si>
  <si>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</si>
  <si>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</si>
  <si>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</si>
  <si>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</si>
  <si>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</si>
  <si>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</si>
  <si>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</si>
  <si>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</si>
  <si>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</si>
  <si>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</si>
  <si>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</si>
  <si>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</si>
  <si>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</si>
  <si>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</si>
  <si>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</si>
  <si>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</si>
  <si>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</si>
  <si>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</si>
  <si>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</si>
  <si>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</si>
  <si>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</si>
  <si>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</si>
  <si>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</si>
  <si>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</si>
  <si>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</si>
  <si>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</si>
  <si>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</si>
  <si>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</si>
  <si>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</si>
  <si>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</si>
  <si>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</si>
  <si>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</si>
  <si>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</si>
  <si>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</si>
  <si>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</si>
  <si>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</si>
  <si>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</si>
  <si>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</si>
  <si>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</si>
  <si>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</si>
  <si>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</si>
  <si>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</si>
  <si>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</si>
  <si>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</si>
  <si>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</si>
  <si>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</si>
  <si>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</si>
  <si>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</si>
  <si>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</si>
  <si>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</si>
  <si>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</si>
  <si>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</si>
  <si>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</si>
  <si>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</si>
  <si>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</si>
  <si>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</si>
  <si>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</si>
  <si>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</si>
  <si>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</si>
  <si>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</si>
  <si>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</si>
  <si>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</si>
  <si>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</si>
  <si>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</si>
  <si>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</si>
  <si>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</si>
  <si>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</si>
  <si>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</si>
  <si>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</si>
  <si>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</si>
  <si>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</si>
  <si>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</si>
  <si>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</si>
  <si>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Technical assumptions</t>
  </si>
  <si>
    <t>Model Information</t>
  </si>
  <si>
    <t>Boolean</t>
  </si>
  <si>
    <t>Percentage</t>
  </si>
  <si>
    <t>Year</t>
  </si>
  <si>
    <t>Multiplier</t>
  </si>
  <si>
    <t>[1,0]</t>
  </si>
  <si>
    <t>%</t>
  </si>
  <si>
    <t># Days</t>
  </si>
  <si>
    <t># Year(s)</t>
  </si>
  <si>
    <t>x</t>
  </si>
  <si>
    <t>IS</t>
  </si>
  <si>
    <t>BS</t>
  </si>
  <si>
    <t>CFS</t>
  </si>
  <si>
    <t>Revenue</t>
  </si>
  <si>
    <t>COGS</t>
  </si>
  <si>
    <t>Amounts</t>
  </si>
  <si>
    <t>Debt</t>
  </si>
  <si>
    <t xml:space="preserve">Interest </t>
  </si>
  <si>
    <t xml:space="preserve">Taxation </t>
  </si>
  <si>
    <t>DTA</t>
  </si>
  <si>
    <t>DTL</t>
  </si>
  <si>
    <t>Dividends</t>
  </si>
  <si>
    <t>Year Lookups</t>
  </si>
  <si>
    <t>Actuals Throughout</t>
  </si>
  <si>
    <t>LU_Future_Years</t>
  </si>
  <si>
    <t>Calculations</t>
  </si>
  <si>
    <t xml:space="preserve">Revenue and Related </t>
  </si>
  <si>
    <t xml:space="preserve">Revenue </t>
  </si>
  <si>
    <t>Working Capital</t>
  </si>
  <si>
    <t>Opex</t>
  </si>
  <si>
    <t>Depreciation</t>
  </si>
  <si>
    <t>NPBT</t>
  </si>
  <si>
    <t>NPAT</t>
  </si>
  <si>
    <t>Control Account</t>
  </si>
  <si>
    <t>Interest Receivable Rate</t>
  </si>
  <si>
    <t>Tax Rate</t>
  </si>
  <si>
    <t>Interest Expense</t>
  </si>
  <si>
    <t>Interest Paid</t>
  </si>
  <si>
    <t>Revenue First Year</t>
  </si>
  <si>
    <t>Revenue Growth Rate</t>
  </si>
  <si>
    <t>Days Receivable</t>
  </si>
  <si>
    <t>Days in Period</t>
  </si>
  <si>
    <t>Closing Receivables</t>
  </si>
  <si>
    <t>Opening Receivables</t>
  </si>
  <si>
    <t xml:space="preserve">Cash Receipts </t>
  </si>
  <si>
    <t>COGS and Related</t>
  </si>
  <si>
    <t>Gross Margin</t>
  </si>
  <si>
    <t>Gross Profit</t>
  </si>
  <si>
    <t>Days Payable</t>
  </si>
  <si>
    <t>Closing Payables</t>
  </si>
  <si>
    <t>Opening Payables</t>
  </si>
  <si>
    <t>Cash Payments</t>
  </si>
  <si>
    <t>Annual Rate</t>
  </si>
  <si>
    <t>Accounting Depreciation - Straight Line</t>
  </si>
  <si>
    <t>Debt and Related</t>
  </si>
  <si>
    <t>Debt Drawdowns</t>
  </si>
  <si>
    <t>Debt Repayments</t>
  </si>
  <si>
    <t>Interest Rate</t>
  </si>
  <si>
    <t>Permanent Differences</t>
  </si>
  <si>
    <t>Non-Assessable Revenue</t>
  </si>
  <si>
    <t>Disallowable Expenses</t>
  </si>
  <si>
    <t>Tax Depreciation (Declining Balance)</t>
  </si>
  <si>
    <t xml:space="preserve">Capital Expenditure </t>
  </si>
  <si>
    <t>Remaining Life of Tax Assets</t>
  </si>
  <si>
    <t>Tax Asset Life of New Capex</t>
  </si>
  <si>
    <t>Tax Payable and Paid</t>
  </si>
  <si>
    <t>Payment Delay</t>
  </si>
  <si>
    <t>Tax Paid</t>
  </si>
  <si>
    <t xml:space="preserve">Ordinary Equity </t>
  </si>
  <si>
    <t xml:space="preserve">Equity Issuances </t>
  </si>
  <si>
    <t>Equity Buybacks</t>
  </si>
  <si>
    <t>Retained Profits</t>
  </si>
  <si>
    <t>Dividends Paid</t>
  </si>
  <si>
    <t>Other Current Assets</t>
  </si>
  <si>
    <t>Unit</t>
  </si>
  <si>
    <t>Current Assets</t>
  </si>
  <si>
    <t xml:space="preserve">Cash </t>
  </si>
  <si>
    <t>Accounts Receivable</t>
  </si>
  <si>
    <t>Total Current Assets</t>
  </si>
  <si>
    <t>Non-Current Assets</t>
  </si>
  <si>
    <t>PP&amp;E</t>
  </si>
  <si>
    <t>Deferred Tax Assets</t>
  </si>
  <si>
    <t>Total Non-Current Assets</t>
  </si>
  <si>
    <t>Total Assets</t>
  </si>
  <si>
    <t>Current Liabilities</t>
  </si>
  <si>
    <t>Accounts Payable</t>
  </si>
  <si>
    <t>Interest Payable</t>
  </si>
  <si>
    <t>Dividends Payable</t>
  </si>
  <si>
    <t>Tax Payable</t>
  </si>
  <si>
    <t xml:space="preserve">Non-Current Liabilities </t>
  </si>
  <si>
    <t>Deferred Tax Liabilities</t>
  </si>
  <si>
    <t>Total Non-Current Liabilities</t>
  </si>
  <si>
    <t>Total Liabilities</t>
  </si>
  <si>
    <t>Net Assets</t>
  </si>
  <si>
    <t xml:space="preserve">Equity </t>
  </si>
  <si>
    <t>Ordinary Equity</t>
  </si>
  <si>
    <t xml:space="preserve">Dividends Declared </t>
  </si>
  <si>
    <t xml:space="preserve">Total Equity </t>
  </si>
  <si>
    <t>Checks</t>
  </si>
  <si>
    <t>PF Error Check</t>
  </si>
  <si>
    <t>Balance Check</t>
  </si>
  <si>
    <t>Operating Expenditure</t>
  </si>
  <si>
    <t>EBITDA</t>
  </si>
  <si>
    <t>EBIT</t>
  </si>
  <si>
    <t>Tax Expense</t>
  </si>
  <si>
    <t>Opening Profits</t>
  </si>
  <si>
    <t>Insolvency Check</t>
  </si>
  <si>
    <t>Operating Cash Flow</t>
  </si>
  <si>
    <t>Cash Receipts</t>
  </si>
  <si>
    <t xml:space="preserve">Direct Cash Payments </t>
  </si>
  <si>
    <t>Indirect Cash Payments</t>
  </si>
  <si>
    <t>Investing Cash Flows</t>
  </si>
  <si>
    <t xml:space="preserve">Interest Received </t>
  </si>
  <si>
    <t>Purchases of Non-Current Assets</t>
  </si>
  <si>
    <t>Financing Cash Flows</t>
  </si>
  <si>
    <t xml:space="preserve">Ordinary Equity Issuances </t>
  </si>
  <si>
    <t>Ordinary Equity Buybacks</t>
  </si>
  <si>
    <t>Net Increase / (Decrease) in Cash Held</t>
  </si>
  <si>
    <t>Indirect Extract</t>
  </si>
  <si>
    <t xml:space="preserve">Add Back: </t>
  </si>
  <si>
    <t>Movements in Working Capital:</t>
  </si>
  <si>
    <t>(Inc) / Dec in Current Assets</t>
  </si>
  <si>
    <t xml:space="preserve">Inc / (Dec) in Current Liabilities </t>
  </si>
  <si>
    <t>Deduct:</t>
  </si>
  <si>
    <t>Opening Balance Sheet</t>
  </si>
  <si>
    <t>Income Statement</t>
  </si>
  <si>
    <t>Balance Sheet</t>
  </si>
  <si>
    <t>Cash Flow Statement</t>
  </si>
  <si>
    <t>Remaining Life of Existing Assets</t>
  </si>
  <si>
    <t>Economic Life of New Capex</t>
  </si>
  <si>
    <t>General Assumptions</t>
  </si>
  <si>
    <t>Simple financial model example to highlight key concepts.</t>
  </si>
  <si>
    <t>US$'000</t>
  </si>
  <si>
    <t>No of Days</t>
  </si>
  <si>
    <t>No of Years</t>
  </si>
  <si>
    <t xml:space="preserve">Financial Statement Abbreviations </t>
  </si>
  <si>
    <t>Revenue and Related</t>
  </si>
  <si>
    <t xml:space="preserve">Days Receivable </t>
  </si>
  <si>
    <t>Opex and Cash Payments</t>
  </si>
  <si>
    <t>All expenses are assumed to be paid as they are incurred.</t>
  </si>
  <si>
    <t>Growth Rates Used From</t>
  </si>
  <si>
    <t xml:space="preserve">Growth Rates </t>
  </si>
  <si>
    <t>Capex and Related</t>
  </si>
  <si>
    <t>Movements are assumed to occur ar the end of each period.</t>
  </si>
  <si>
    <t>Interest is assumed to be paid in the following period.</t>
  </si>
  <si>
    <t xml:space="preserve">Proportion into Period of Movement </t>
  </si>
  <si>
    <t>Declining Balance Multiplier</t>
  </si>
  <si>
    <t>DTAs are assumed to arise through losses carried forward.</t>
  </si>
  <si>
    <t>DTLs are assumed to arise through depreciation timing differences.</t>
  </si>
  <si>
    <t xml:space="preserve">Ordinary Equity and Related </t>
  </si>
  <si>
    <t xml:space="preserve">Dividend Payout Ratio </t>
  </si>
  <si>
    <t>#</t>
  </si>
  <si>
    <t>Reconciliation Check:</t>
  </si>
  <si>
    <t>Opening Balance Sheet - no errors</t>
  </si>
  <si>
    <t>Opening Balance Sheet - balances</t>
  </si>
  <si>
    <t>Opening Balance Sheet - solvent</t>
  </si>
  <si>
    <t>Balance Sheet - no errors</t>
  </si>
  <si>
    <t>Balance Sheet - balances</t>
  </si>
  <si>
    <t>Balance Sheet - solvent</t>
  </si>
  <si>
    <t>Days_in_Year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</si>
  <si>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</si>
  <si>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</si>
  <si>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</si>
  <si>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</si>
  <si>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</si>
  <si>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</si>
  <si>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</si>
  <si>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</si>
  <si>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</si>
  <si>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No_of_Years</t>
  </si>
  <si>
    <t>Income_Statement</t>
  </si>
  <si>
    <t>Balance_Sheet</t>
  </si>
  <si>
    <t>Cash_Flow_Statement</t>
  </si>
  <si>
    <t xml:space="preserve">Interest Receivable </t>
  </si>
  <si>
    <t>Other Current Liabilities</t>
  </si>
  <si>
    <t>Total Current Liabilities</t>
  </si>
  <si>
    <t>Dividends are assumed to be paid in the period after they are declared.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</si>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</sst>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#,##0&quot; Year(s)&quot;"/>
  </numFmts>
  <fonts count="3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Arial"/>
      <family val="2"/>
    </font>
    <font>
      <sz val="9"/>
      <color theme="0"/>
      <name val="Wingdings"/>
      <charset val="2"/>
    </font>
    <font>
      <sz val="6"/>
      <color theme="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33" fillId="5" borderId="7" applyAlignment="0"/>
    <xf numFmtId="164" fontId="36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10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9" fontId="1" fillId="0" borderId="0" applyFont="0" applyFill="0" applyBorder="0" applyAlignment="0" applyProtection="0"/>
    <xf numFmtId="0" fontId="26" fillId="6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6" borderId="7">
      <alignment horizontal="center"/>
    </xf>
    <xf numFmtId="41" fontId="5" fillId="7" borderId="8" applyFont="0" applyAlignment="0"/>
    <xf numFmtId="0" fontId="13" fillId="9" borderId="0" applyNumberFormat="0">
      <alignment horizontal="center"/>
    </xf>
    <xf numFmtId="0" fontId="30" fillId="0" borderId="0" applyNumberFormat="0" applyFill="0" applyBorder="0" applyProtection="0"/>
    <xf numFmtId="0" fontId="31" fillId="8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3" fontId="16" fillId="3" borderId="1"/>
  </cellStyleXfs>
  <cellXfs count="15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9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8" fontId="33" fillId="5" borderId="7" xfId="18"/>
    <xf numFmtId="164" fontId="36" fillId="2" borderId="2" xfId="19">
      <alignment horizontal="center"/>
      <protection locked="0"/>
    </xf>
    <xf numFmtId="0" fontId="28" fillId="10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6" borderId="2" xfId="27"/>
    <xf numFmtId="0" fontId="7" fillId="0" borderId="0" xfId="28"/>
    <xf numFmtId="172" fontId="29" fillId="6" borderId="7" xfId="31">
      <alignment horizontal="center"/>
    </xf>
    <xf numFmtId="41" fontId="0" fillId="7" borderId="8" xfId="32" applyFont="1"/>
    <xf numFmtId="0" fontId="30" fillId="0" borderId="0" xfId="34"/>
    <xf numFmtId="0" fontId="31" fillId="8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41" fontId="26" fillId="0" borderId="3" xfId="2" applyFont="1" applyBorder="1" applyAlignment="1"/>
    <xf numFmtId="0" fontId="27" fillId="0" borderId="0" xfId="8" applyAlignment="1"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17" fillId="0" borderId="0" xfId="11"/>
    <xf numFmtId="0" fontId="30" fillId="0" borderId="0" xfId="34" applyBorder="1"/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81" fontId="25" fillId="4" borderId="7" xfId="14" applyNumberFormat="1">
      <protection locked="0"/>
    </xf>
    <xf numFmtId="181" fontId="0" fillId="0" borderId="0" xfId="0" applyNumberFormat="1"/>
    <xf numFmtId="41" fontId="28" fillId="10" borderId="8" xfId="21"/>
    <xf numFmtId="9" fontId="28" fillId="10" borderId="8" xfId="21" applyNumberFormat="1"/>
    <xf numFmtId="41" fontId="24" fillId="0" borderId="10" xfId="23" applyNumberFormat="1" applyFont="1"/>
    <xf numFmtId="0" fontId="0" fillId="0" borderId="0" xfId="0" applyAlignment="1">
      <alignment horizontal="left"/>
    </xf>
    <xf numFmtId="0" fontId="15" fillId="0" borderId="0" xfId="9" applyAlignment="1">
      <alignment horizontal="left"/>
    </xf>
    <xf numFmtId="0" fontId="27" fillId="0" borderId="0" xfId="8" applyAlignment="1">
      <alignment horizontal="left"/>
      <protection locked="0"/>
    </xf>
    <xf numFmtId="173" fontId="16" fillId="3" borderId="1" xfId="41" applyAlignment="1">
      <alignment horizontal="left"/>
    </xf>
    <xf numFmtId="0" fontId="16" fillId="3" borderId="1" xfId="10" applyAlignment="1">
      <alignment horizontal="left"/>
    </xf>
    <xf numFmtId="0" fontId="17" fillId="0" borderId="0" xfId="11" applyAlignment="1">
      <alignment horizontal="left"/>
    </xf>
    <xf numFmtId="0" fontId="18" fillId="0" borderId="0" xfId="12" applyAlignment="1">
      <alignment horizontal="left"/>
    </xf>
    <xf numFmtId="0" fontId="24" fillId="0" borderId="0" xfId="0" applyFont="1" applyAlignment="1">
      <alignment horizontal="left"/>
    </xf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 applyBorder="1"/>
    <xf numFmtId="0" fontId="0" fillId="0" borderId="0" xfId="0"/>
    <xf numFmtId="169" fontId="25" fillId="4" borderId="7" xfId="26" applyFont="1" applyFill="1" applyBorder="1" applyProtection="1">
      <protection locked="0"/>
    </xf>
    <xf numFmtId="9" fontId="25" fillId="4" borderId="7" xfId="5" applyFont="1" applyFill="1" applyBorder="1" applyProtection="1">
      <protection locked="0"/>
    </xf>
    <xf numFmtId="167" fontId="25" fillId="4" borderId="7" xfId="14" applyNumberFormat="1" applyAlignment="1">
      <alignment horizontal="center"/>
      <protection locked="0"/>
    </xf>
    <xf numFmtId="43" fontId="25" fillId="4" borderId="7" xfId="1" applyFont="1" applyFill="1" applyBorder="1" applyProtection="1">
      <protection locked="0"/>
    </xf>
    <xf numFmtId="0" fontId="23" fillId="0" borderId="0" xfId="0" applyFont="1" applyAlignment="1">
      <alignment horizontal="left"/>
    </xf>
    <xf numFmtId="0" fontId="23" fillId="0" borderId="0" xfId="0" applyFont="1"/>
    <xf numFmtId="0" fontId="27" fillId="0" borderId="0" xfId="8" applyFont="1">
      <alignment horizontal="left"/>
      <protection locked="0"/>
    </xf>
    <xf numFmtId="0" fontId="27" fillId="0" borderId="0" xfId="8" applyFont="1" applyAlignment="1">
      <alignment horizontal="left"/>
      <protection locked="0"/>
    </xf>
    <xf numFmtId="41" fontId="23" fillId="0" borderId="0" xfId="2" applyFont="1"/>
    <xf numFmtId="164" fontId="35" fillId="2" borderId="16" xfId="0" applyNumberFormat="1" applyFont="1" applyFill="1" applyBorder="1" applyAlignment="1" applyProtection="1">
      <alignment horizontal="center"/>
      <protection locked="0"/>
    </xf>
    <xf numFmtId="0" fontId="13" fillId="3" borderId="1" xfId="10" applyFont="1" applyAlignment="1">
      <alignment horizontal="left"/>
    </xf>
    <xf numFmtId="0" fontId="13" fillId="3" borderId="1" xfId="10" applyFont="1"/>
    <xf numFmtId="0" fontId="23" fillId="0" borderId="0" xfId="0" applyFont="1" applyBorder="1"/>
    <xf numFmtId="0" fontId="34" fillId="0" borderId="0" xfId="11" applyFont="1" applyAlignment="1">
      <alignment horizontal="left"/>
    </xf>
    <xf numFmtId="0" fontId="24" fillId="0" borderId="0" xfId="12" applyFont="1" applyAlignment="1">
      <alignment horizontal="left"/>
    </xf>
    <xf numFmtId="0" fontId="30" fillId="0" borderId="0" xfId="34" applyFont="1"/>
    <xf numFmtId="0" fontId="30" fillId="0" borderId="0" xfId="34" applyFont="1" applyBorder="1"/>
    <xf numFmtId="41" fontId="28" fillId="10" borderId="8" xfId="21" applyFont="1"/>
    <xf numFmtId="1" fontId="30" fillId="0" borderId="0" xfId="34" applyNumberFormat="1" applyFont="1"/>
    <xf numFmtId="14" fontId="23" fillId="0" borderId="0" xfId="0" applyNumberFormat="1" applyFont="1"/>
    <xf numFmtId="0" fontId="27" fillId="0" borderId="0" xfId="8" applyFont="1">
      <alignment horizontal="left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41" fontId="25" fillId="4" borderId="7" xfId="14" applyNumberFormat="1" applyFont="1">
      <protection locked="0"/>
    </xf>
    <xf numFmtId="0" fontId="27" fillId="0" borderId="0" xfId="8" applyFont="1" applyAlignment="1">
      <protection locked="0"/>
    </xf>
    <xf numFmtId="173" fontId="13" fillId="3" borderId="1" xfId="41" applyFont="1"/>
    <xf numFmtId="0" fontId="34" fillId="0" borderId="0" xfId="11" applyFont="1" applyBorder="1"/>
    <xf numFmtId="0" fontId="26" fillId="0" borderId="3" xfId="13" applyFont="1" applyAlignment="1">
      <alignment horizontal="center"/>
    </xf>
    <xf numFmtId="166" fontId="26" fillId="0" borderId="3" xfId="13" applyNumberFormat="1" applyFont="1" applyAlignment="1">
      <alignment horizontal="center"/>
    </xf>
    <xf numFmtId="14" fontId="26" fillId="0" borderId="3" xfId="13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8" applyFont="1" applyAlignment="1">
      <alignment horizontal="right"/>
      <protection locked="0"/>
    </xf>
    <xf numFmtId="164" fontId="35" fillId="2" borderId="2" xfId="19" applyFont="1">
      <alignment horizontal="center"/>
      <protection locked="0"/>
    </xf>
    <xf numFmtId="173" fontId="16" fillId="3" borderId="1" xfId="10" applyNumberFormat="1"/>
    <xf numFmtId="169" fontId="23" fillId="0" borderId="0" xfId="26" applyFont="1"/>
    <xf numFmtId="169" fontId="28" fillId="10" borderId="8" xfId="21" applyNumberFormat="1"/>
    <xf numFmtId="169" fontId="24" fillId="0" borderId="0" xfId="26" applyFont="1"/>
    <xf numFmtId="169" fontId="23" fillId="0" borderId="10" xfId="26" applyFont="1" applyBorder="1"/>
    <xf numFmtId="179" fontId="24" fillId="10" borderId="8" xfId="17" applyFill="1" applyBorder="1">
      <alignment horizontal="center"/>
    </xf>
    <xf numFmtId="169" fontId="24" fillId="0" borderId="10" xfId="26" applyFont="1" applyBorder="1"/>
    <xf numFmtId="41" fontId="24" fillId="0" borderId="17" xfId="23" applyNumberFormat="1" applyFont="1" applyBorder="1"/>
    <xf numFmtId="169" fontId="0" fillId="0" borderId="10" xfId="26" applyFont="1" applyBorder="1"/>
    <xf numFmtId="0" fontId="24" fillId="0" borderId="0" xfId="12" applyFont="1"/>
    <xf numFmtId="164" fontId="35" fillId="11" borderId="16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/>
    <xf numFmtId="0" fontId="0" fillId="0" borderId="0" xfId="0" applyFont="1" applyAlignment="1">
      <alignment horizontal="left"/>
    </xf>
    <xf numFmtId="169" fontId="24" fillId="0" borderId="17" xfId="26" applyFont="1" applyBorder="1"/>
    <xf numFmtId="0" fontId="23" fillId="0" borderId="0" xfId="0" applyFont="1" applyAlignment="1">
      <alignment horizontal="left" indent="1"/>
    </xf>
    <xf numFmtId="169" fontId="23" fillId="0" borderId="9" xfId="26" applyFont="1" applyBorder="1"/>
    <xf numFmtId="164" fontId="35" fillId="11" borderId="2" xfId="0" applyNumberFormat="1" applyFont="1" applyFill="1" applyBorder="1" applyAlignment="1" applyProtection="1">
      <alignment horizontal="center"/>
      <protection locked="0"/>
    </xf>
    <xf numFmtId="15" fontId="26" fillId="6" borderId="2" xfId="27" applyNumberFormat="1" applyAlignment="1">
      <alignment horizontal="center"/>
    </xf>
    <xf numFmtId="0" fontId="25" fillId="4" borderId="7" xfId="14" applyNumberFormat="1" applyAlignment="1">
      <alignment horizontal="center"/>
      <protection locked="0"/>
    </xf>
    <xf numFmtId="178" fontId="31" fillId="12" borderId="3" xfId="13" applyNumberFormat="1" applyFont="1" applyFill="1">
      <alignment horizont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32" fillId="0" borderId="0" xfId="25" applyNumberFormat="1" applyBorder="1"/>
    <xf numFmtId="41" fontId="31" fillId="12" borderId="7" xfId="14" applyNumberFormat="1" applyFont="1" applyFill="1">
      <protection locked="0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9" borderId="0" xfId="33">
      <alignment horizontal="center"/>
    </xf>
    <xf numFmtId="0" fontId="0" fillId="0" borderId="0" xfId="0"/>
    <xf numFmtId="0" fontId="13" fillId="9" borderId="0" xfId="33" applyBorder="1">
      <alignment horizontal="center"/>
    </xf>
    <xf numFmtId="0" fontId="27" fillId="0" borderId="0" xfId="8" applyFont="1">
      <alignment horizontal="left"/>
      <protection locked="0"/>
    </xf>
    <xf numFmtId="0" fontId="26" fillId="0" borderId="4" xfId="13" applyFont="1" applyBorder="1" applyAlignment="1">
      <alignment horizontal="left"/>
    </xf>
    <xf numFmtId="0" fontId="26" fillId="0" borderId="5" xfId="13" applyFont="1" applyBorder="1" applyAlignment="1">
      <alignment horizontal="left"/>
    </xf>
    <xf numFmtId="0" fontId="26" fillId="0" borderId="6" xfId="13" applyFont="1" applyBorder="1" applyAlignment="1">
      <alignment horizontal="left"/>
    </xf>
    <xf numFmtId="0" fontId="25" fillId="4" borderId="7" xfId="14" applyFont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C09]dd\-mmm\-yy;@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7</xdr:row>
      <xdr:rowOff>54078</xdr:rowOff>
    </xdr:from>
    <xdr:to>
      <xdr:col>6</xdr:col>
      <xdr:colOff>315383</xdr:colOff>
      <xdr:row>12</xdr:row>
      <xdr:rowOff>12700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1137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18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41" t="s">
        <v>1</v>
      </c>
    </row>
    <row r="5" spans="1:19" ht="20.25" x14ac:dyDescent="0.3">
      <c r="C5" s="46" t="str">
        <f>Client_Name</f>
        <v>Example</v>
      </c>
      <c r="D5" s="6"/>
      <c r="E5" s="6"/>
      <c r="F5" s="6"/>
      <c r="G5" s="6"/>
      <c r="H5" s="6"/>
      <c r="I5" s="6"/>
      <c r="J5" s="6"/>
    </row>
    <row r="6" spans="1:19" ht="18" x14ac:dyDescent="0.25">
      <c r="C6" s="47" t="str">
        <f ca="1">Model_Name</f>
        <v>Chapter 10.06 - COGS.xlsm</v>
      </c>
      <c r="D6" s="6"/>
      <c r="E6" s="6"/>
      <c r="F6" s="6"/>
      <c r="G6" s="6"/>
      <c r="H6" s="6"/>
      <c r="I6" s="6"/>
      <c r="J6" s="6"/>
    </row>
    <row r="7" spans="1:19" ht="12.75" x14ac:dyDescent="0.2">
      <c r="C7" s="6"/>
      <c r="D7" s="6"/>
      <c r="E7" s="6"/>
      <c r="F7" s="6"/>
      <c r="G7" s="6"/>
      <c r="H7" s="6"/>
      <c r="I7" s="6"/>
      <c r="J7" s="6"/>
    </row>
    <row r="8" spans="1:19" ht="12.75" x14ac:dyDescent="0.2">
      <c r="C8" s="6"/>
      <c r="D8" s="6"/>
      <c r="E8" s="6"/>
      <c r="F8" s="6"/>
      <c r="G8" s="6"/>
      <c r="H8" s="6"/>
      <c r="I8" s="6"/>
      <c r="J8" s="6"/>
    </row>
    <row r="9" spans="1:19" ht="12.75" x14ac:dyDescent="0.2">
      <c r="C9" s="6"/>
      <c r="D9" s="6"/>
      <c r="E9" s="6"/>
      <c r="F9" s="6"/>
      <c r="G9" s="6"/>
      <c r="H9" s="6"/>
      <c r="I9" s="6"/>
      <c r="J9" s="6"/>
    </row>
    <row r="10" spans="1:19" ht="12.75" x14ac:dyDescent="0.2">
      <c r="C10" s="6"/>
      <c r="D10" s="6"/>
      <c r="E10" s="6"/>
      <c r="F10" s="6"/>
      <c r="G10" s="6"/>
      <c r="H10" s="6"/>
      <c r="I10" s="6"/>
      <c r="J10" s="6"/>
    </row>
    <row r="11" spans="1:19" ht="15" x14ac:dyDescent="0.25">
      <c r="C11" s="6"/>
      <c r="D11" s="6"/>
      <c r="E11" s="6"/>
      <c r="F11" s="6"/>
      <c r="G11" s="6"/>
      <c r="H11" s="6"/>
      <c r="I11" s="6"/>
      <c r="J11" s="6"/>
      <c r="S11" s="41"/>
    </row>
    <row r="12" spans="1:19" ht="12.75" x14ac:dyDescent="0.2">
      <c r="C12" s="6"/>
      <c r="D12" s="6"/>
      <c r="E12" s="6"/>
      <c r="F12" s="6"/>
      <c r="G12" s="6"/>
      <c r="H12" s="6"/>
      <c r="I12" s="6"/>
      <c r="J12" s="6"/>
    </row>
    <row r="13" spans="1:19" ht="12.75" x14ac:dyDescent="0.2">
      <c r="C13" s="6"/>
      <c r="D13" s="6"/>
      <c r="E13" s="6"/>
      <c r="F13" s="6"/>
      <c r="G13" s="6"/>
      <c r="H13" s="6"/>
      <c r="I13" s="6"/>
      <c r="J13" s="6"/>
    </row>
    <row r="14" spans="1:19" ht="12.75" x14ac:dyDescent="0.2">
      <c r="C14" s="7" t="s">
        <v>19</v>
      </c>
      <c r="D14" s="8"/>
      <c r="E14" s="6"/>
      <c r="F14" s="6"/>
      <c r="G14" s="6"/>
      <c r="H14" s="6"/>
      <c r="I14" s="6"/>
      <c r="J14" s="6"/>
    </row>
    <row r="15" spans="1:19" ht="12.75" x14ac:dyDescent="0.2">
      <c r="C15" s="8"/>
      <c r="D15" s="8"/>
      <c r="E15" s="6"/>
      <c r="F15" s="6"/>
      <c r="G15" s="6"/>
      <c r="H15" s="6"/>
      <c r="I15" s="6"/>
      <c r="J15" s="6"/>
    </row>
    <row r="16" spans="1:19" ht="12.75" x14ac:dyDescent="0.2">
      <c r="C16" s="7" t="s">
        <v>20</v>
      </c>
      <c r="D16" s="8"/>
      <c r="E16" s="6"/>
      <c r="F16" s="6"/>
      <c r="G16" s="6"/>
      <c r="H16" s="6"/>
      <c r="I16" s="6"/>
      <c r="J16" s="6"/>
    </row>
    <row r="17" spans="3:10" ht="12.75" x14ac:dyDescent="0.2">
      <c r="C17" s="142" t="s">
        <v>230</v>
      </c>
      <c r="D17" s="142"/>
      <c r="E17" s="142"/>
      <c r="F17" s="142"/>
      <c r="G17" s="142"/>
      <c r="H17" s="142"/>
      <c r="I17" s="142"/>
      <c r="J17" s="142"/>
    </row>
    <row r="18" spans="3:10" ht="12.75" x14ac:dyDescent="0.2">
      <c r="C18" s="142"/>
      <c r="D18" s="142"/>
      <c r="E18" s="142"/>
      <c r="F18" s="142"/>
      <c r="G18" s="142"/>
      <c r="H18" s="142"/>
      <c r="I18" s="142"/>
      <c r="J18" s="142"/>
    </row>
    <row r="19" spans="3:10" ht="12.75" x14ac:dyDescent="0.2">
      <c r="C19" s="9"/>
      <c r="D19" s="8"/>
      <c r="E19" s="6"/>
      <c r="F19" s="6"/>
      <c r="G19" s="6"/>
      <c r="H19" s="6"/>
      <c r="I19" s="6"/>
      <c r="J19" s="6"/>
    </row>
    <row r="20" spans="3:10" ht="12.75" x14ac:dyDescent="0.2">
      <c r="C20" s="9"/>
      <c r="D20" s="8"/>
      <c r="E20" s="6"/>
      <c r="F20" s="6"/>
      <c r="G20" s="6"/>
      <c r="H20" s="6"/>
      <c r="I20" s="6"/>
      <c r="J20" s="6"/>
    </row>
    <row r="21" spans="3:10" ht="12.75" x14ac:dyDescent="0.2">
      <c r="C21" s="9" t="s">
        <v>21</v>
      </c>
      <c r="D21" s="8"/>
      <c r="E21" s="6"/>
      <c r="F21" s="6"/>
      <c r="G21" s="143" t="s">
        <v>22</v>
      </c>
      <c r="H21" s="143"/>
      <c r="I21" s="143"/>
      <c r="J21" s="6"/>
    </row>
    <row r="22" spans="3:10" ht="12.75" x14ac:dyDescent="0.2">
      <c r="C22" s="9" t="s">
        <v>23</v>
      </c>
      <c r="D22" s="8"/>
      <c r="E22" s="6"/>
      <c r="F22" s="6"/>
      <c r="G22" s="143" t="s">
        <v>24</v>
      </c>
      <c r="H22" s="143"/>
      <c r="I22" s="143"/>
      <c r="J22" s="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P5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style="90" customWidth="1"/>
    <col min="6" max="6" width="27.85546875" style="90" customWidth="1"/>
    <col min="7" max="7" width="9.140625" style="90"/>
    <col min="8" max="8" width="1.7109375" style="90" customWidth="1"/>
    <col min="9" max="9" width="9.140625" style="90" customWidth="1"/>
    <col min="10" max="14" width="9.140625" style="90"/>
    <col min="15" max="15" width="3.7109375" style="90" customWidth="1"/>
    <col min="16" max="16" width="45.28515625" style="90" bestFit="1" customWidth="1"/>
    <col min="17" max="16384" width="9.140625" style="90"/>
  </cols>
  <sheetData>
    <row r="1" spans="1:15" ht="20.25" x14ac:dyDescent="0.3">
      <c r="A1" s="46" t="str">
        <f ca="1">IFERROR(RIGHT(CELL("filename",A1),LEN(CELL("filename",A1))-FIND("]",CELL("filename",A1))),"")</f>
        <v>Cash Flow Statement</v>
      </c>
    </row>
    <row r="2" spans="1:15" ht="18" x14ac:dyDescent="0.25">
      <c r="A2" s="73" t="str">
        <f ca="1">Model_Name</f>
        <v>Chapter 10.06 - COGS.xlsm</v>
      </c>
    </row>
    <row r="3" spans="1:15" x14ac:dyDescent="0.2">
      <c r="A3" s="141" t="s">
        <v>1</v>
      </c>
      <c r="B3" s="108"/>
      <c r="C3" s="108"/>
      <c r="D3" s="108"/>
      <c r="E3" s="108"/>
    </row>
    <row r="4" spans="1:15" x14ac:dyDescent="0.2">
      <c r="A4" s="90" t="s">
        <v>2</v>
      </c>
      <c r="B4" s="108"/>
      <c r="C4" s="108"/>
      <c r="D4" s="108"/>
      <c r="E4" s="108"/>
      <c r="G4" s="94">
        <f>Overall_Error_Check</f>
        <v>0</v>
      </c>
    </row>
    <row r="5" spans="1:15" x14ac:dyDescent="0.2">
      <c r="A5" s="105"/>
      <c r="B5" s="108"/>
      <c r="C5" s="108"/>
      <c r="D5" s="108"/>
      <c r="E5" s="108"/>
      <c r="G5" s="97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105"/>
      <c r="B6" s="108"/>
      <c r="C6" s="90" t="str">
        <f>Timing!C6</f>
        <v>Start Date</v>
      </c>
      <c r="D6" s="108"/>
      <c r="E6" s="108"/>
      <c r="G6" s="97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105"/>
      <c r="B7" s="108"/>
      <c r="C7" s="90" t="str">
        <f>Timing!C7</f>
        <v>End Date</v>
      </c>
      <c r="D7" s="108"/>
      <c r="E7" s="108"/>
      <c r="G7" s="97"/>
      <c r="H7" s="97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05"/>
      <c r="B8" s="108"/>
      <c r="C8" s="90" t="str">
        <f>Timing!C8</f>
        <v>Number of Days</v>
      </c>
      <c r="D8" s="108"/>
      <c r="E8" s="108"/>
      <c r="G8" s="97"/>
      <c r="H8" s="97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05"/>
      <c r="B9" s="108"/>
      <c r="C9" s="90" t="str">
        <f>Timing!C9</f>
        <v>Counter</v>
      </c>
      <c r="D9" s="108"/>
      <c r="E9" s="108"/>
      <c r="G9" s="97"/>
      <c r="H9" s="97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Cash Flow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/>
    <row r="13" spans="1:15" ht="16.5" x14ac:dyDescent="0.25">
      <c r="C13" s="63" t="str">
        <f ca="1">"Direct "&amp;C11</f>
        <v>Direct Cash Flow Statement</v>
      </c>
    </row>
    <row r="15" spans="1:15" x14ac:dyDescent="0.2">
      <c r="D15" s="126" t="s">
        <v>206</v>
      </c>
    </row>
    <row r="16" spans="1:15" x14ac:dyDescent="0.2">
      <c r="D16" s="126"/>
      <c r="E16" s="90" t="s">
        <v>207</v>
      </c>
      <c r="G16" s="101" t="str">
        <f t="shared" ref="G16:G22" si="0">Currency</f>
        <v>US$'000</v>
      </c>
      <c r="H16" s="101"/>
      <c r="J16" s="118">
        <f>-Calculations!J33</f>
        <v>334.24657534246575</v>
      </c>
      <c r="K16" s="118">
        <f>-Calculations!K33</f>
        <v>440.10958904109594</v>
      </c>
      <c r="L16" s="118">
        <f>-Calculations!L33</f>
        <v>485.43561643835631</v>
      </c>
      <c r="M16" s="118">
        <f>-Calculations!M33</f>
        <v>525.98238311250861</v>
      </c>
      <c r="N16" s="118">
        <f>-Calculations!N33</f>
        <v>554.22171551762881</v>
      </c>
    </row>
    <row r="17" spans="4:14" x14ac:dyDescent="0.2">
      <c r="D17" s="126"/>
      <c r="E17" s="131"/>
      <c r="F17" s="90" t="s">
        <v>208</v>
      </c>
      <c r="G17" s="101" t="str">
        <f t="shared" si="0"/>
        <v>US$'000</v>
      </c>
      <c r="H17" s="101"/>
      <c r="J17" s="118">
        <f>Calculations!J59</f>
        <v>-90.410958904109592</v>
      </c>
      <c r="K17" s="118">
        <f>Calculations!K59</f>
        <v>-130.84931506849318</v>
      </c>
      <c r="L17" s="118">
        <f>Calculations!L59</f>
        <v>-144.52602739726032</v>
      </c>
      <c r="M17" s="118">
        <f>Calculations!M59</f>
        <v>-156.85847240062884</v>
      </c>
      <c r="N17" s="118">
        <f>Calculations!N59</f>
        <v>-165.57449198293295</v>
      </c>
    </row>
    <row r="18" spans="4:14" x14ac:dyDescent="0.2">
      <c r="D18" s="126"/>
      <c r="E18" s="131"/>
      <c r="F18" s="90" t="s">
        <v>209</v>
      </c>
      <c r="G18" s="101" t="str">
        <f t="shared" si="0"/>
        <v>US$'000</v>
      </c>
      <c r="H18" s="101"/>
      <c r="J18" s="118"/>
      <c r="K18" s="118"/>
      <c r="L18" s="118"/>
      <c r="M18" s="118"/>
      <c r="N18" s="118"/>
    </row>
    <row r="19" spans="4:14" x14ac:dyDescent="0.2">
      <c r="D19" s="126"/>
      <c r="E19" s="90" t="s">
        <v>150</v>
      </c>
      <c r="G19" s="101" t="str">
        <f t="shared" si="0"/>
        <v>US$'000</v>
      </c>
      <c r="H19" s="101"/>
      <c r="J19" s="132">
        <f>SUM(J17:J18)</f>
        <v>-90.410958904109592</v>
      </c>
      <c r="K19" s="132">
        <f t="shared" ref="K19:N19" si="1">SUM(K17:K18)</f>
        <v>-130.84931506849318</v>
      </c>
      <c r="L19" s="132">
        <f t="shared" si="1"/>
        <v>-144.52602739726032</v>
      </c>
      <c r="M19" s="132">
        <f t="shared" si="1"/>
        <v>-156.85847240062884</v>
      </c>
      <c r="N19" s="132">
        <f t="shared" si="1"/>
        <v>-165.57449198293295</v>
      </c>
    </row>
    <row r="20" spans="4:14" x14ac:dyDescent="0.2">
      <c r="D20" s="126"/>
      <c r="E20" s="90" t="s">
        <v>136</v>
      </c>
      <c r="G20" s="101" t="str">
        <f t="shared" si="0"/>
        <v>US$'000</v>
      </c>
      <c r="H20" s="101"/>
      <c r="J20" s="118"/>
      <c r="K20" s="118"/>
      <c r="L20" s="118"/>
      <c r="M20" s="118"/>
      <c r="N20" s="118"/>
    </row>
    <row r="21" spans="4:14" x14ac:dyDescent="0.2">
      <c r="D21" s="126"/>
      <c r="E21" s="90" t="s">
        <v>166</v>
      </c>
      <c r="G21" s="101" t="str">
        <f t="shared" si="0"/>
        <v>US$'000</v>
      </c>
      <c r="H21" s="101"/>
      <c r="J21" s="118"/>
      <c r="K21" s="118"/>
      <c r="L21" s="118"/>
      <c r="M21" s="118"/>
      <c r="N21" s="118"/>
    </row>
    <row r="22" spans="4:14" x14ac:dyDescent="0.2">
      <c r="D22" s="126"/>
      <c r="E22" s="66" t="str">
        <f>"Net "&amp;D15</f>
        <v>Net Operating Cash Flow</v>
      </c>
      <c r="G22" s="101" t="str">
        <f t="shared" si="0"/>
        <v>US$'000</v>
      </c>
      <c r="H22" s="101"/>
      <c r="J22" s="123">
        <f>SUM(J16,J19:J21)</f>
        <v>243.83561643835617</v>
      </c>
      <c r="K22" s="123">
        <f t="shared" ref="K22:N22" si="2">SUM(K16,K19:K21)</f>
        <v>309.26027397260276</v>
      </c>
      <c r="L22" s="123">
        <f t="shared" si="2"/>
        <v>340.90958904109596</v>
      </c>
      <c r="M22" s="123">
        <f t="shared" si="2"/>
        <v>369.12391071187977</v>
      </c>
      <c r="N22" s="123">
        <f t="shared" si="2"/>
        <v>388.64722353469585</v>
      </c>
    </row>
    <row r="23" spans="4:14" x14ac:dyDescent="0.2">
      <c r="D23" s="126"/>
      <c r="J23" s="118"/>
      <c r="K23" s="118"/>
      <c r="L23" s="118"/>
      <c r="M23" s="118"/>
      <c r="N23" s="118"/>
    </row>
    <row r="24" spans="4:14" x14ac:dyDescent="0.2">
      <c r="D24" s="126" t="s">
        <v>210</v>
      </c>
      <c r="J24" s="118"/>
      <c r="K24" s="118"/>
      <c r="L24" s="118"/>
      <c r="M24" s="118"/>
      <c r="N24" s="118"/>
    </row>
    <row r="25" spans="4:14" x14ac:dyDescent="0.2">
      <c r="D25" s="126"/>
      <c r="E25" s="90" t="s">
        <v>211</v>
      </c>
      <c r="G25" s="101" t="str">
        <f>Currency</f>
        <v>US$'000</v>
      </c>
      <c r="H25" s="101"/>
      <c r="J25" s="118"/>
      <c r="K25" s="118"/>
      <c r="L25" s="118"/>
      <c r="M25" s="118"/>
      <c r="N25" s="118"/>
    </row>
    <row r="26" spans="4:14" x14ac:dyDescent="0.2">
      <c r="D26" s="126"/>
      <c r="E26" s="90" t="s">
        <v>212</v>
      </c>
      <c r="G26" s="101" t="str">
        <f>Currency</f>
        <v>US$'000</v>
      </c>
      <c r="H26" s="101"/>
      <c r="J26" s="118"/>
      <c r="K26" s="118"/>
      <c r="L26" s="118"/>
      <c r="M26" s="118"/>
      <c r="N26" s="118"/>
    </row>
    <row r="27" spans="4:14" x14ac:dyDescent="0.2">
      <c r="D27" s="126"/>
      <c r="E27" s="66" t="str">
        <f>"Net "&amp;D24</f>
        <v>Net Investing Cash Flows</v>
      </c>
      <c r="G27" s="101" t="str">
        <f>Currency</f>
        <v>US$'000</v>
      </c>
      <c r="H27" s="101"/>
      <c r="J27" s="123">
        <f>SUM(J25:J26)</f>
        <v>0</v>
      </c>
      <c r="K27" s="123">
        <f t="shared" ref="K27:N27" si="3">SUM(K25:K26)</f>
        <v>0</v>
      </c>
      <c r="L27" s="123">
        <f t="shared" si="3"/>
        <v>0</v>
      </c>
      <c r="M27" s="123">
        <f t="shared" si="3"/>
        <v>0</v>
      </c>
      <c r="N27" s="123">
        <f t="shared" si="3"/>
        <v>0</v>
      </c>
    </row>
    <row r="28" spans="4:14" x14ac:dyDescent="0.2">
      <c r="D28" s="126"/>
      <c r="J28" s="118"/>
      <c r="K28" s="118"/>
      <c r="L28" s="118"/>
      <c r="M28" s="118"/>
      <c r="N28" s="118"/>
    </row>
    <row r="29" spans="4:14" x14ac:dyDescent="0.2">
      <c r="D29" s="126" t="s">
        <v>213</v>
      </c>
      <c r="J29" s="118"/>
      <c r="K29" s="118"/>
      <c r="L29" s="118"/>
      <c r="M29" s="118"/>
      <c r="N29" s="118"/>
    </row>
    <row r="30" spans="4:14" x14ac:dyDescent="0.2">
      <c r="D30" s="126"/>
      <c r="E30" s="90" t="s">
        <v>154</v>
      </c>
      <c r="G30" s="101" t="str">
        <f t="shared" ref="G30:G35" si="4">Currency</f>
        <v>US$'000</v>
      </c>
      <c r="H30" s="101"/>
      <c r="J30" s="118"/>
      <c r="K30" s="118"/>
      <c r="L30" s="118"/>
      <c r="M30" s="118"/>
      <c r="N30" s="118"/>
    </row>
    <row r="31" spans="4:14" x14ac:dyDescent="0.2">
      <c r="D31" s="126"/>
      <c r="E31" s="90" t="s">
        <v>155</v>
      </c>
      <c r="G31" s="101" t="str">
        <f t="shared" si="4"/>
        <v>US$'000</v>
      </c>
      <c r="H31" s="101"/>
      <c r="J31" s="118"/>
      <c r="K31" s="118"/>
      <c r="L31" s="118"/>
      <c r="M31" s="118"/>
      <c r="N31" s="118"/>
    </row>
    <row r="32" spans="4:14" x14ac:dyDescent="0.2">
      <c r="D32" s="126"/>
      <c r="E32" s="90" t="s">
        <v>214</v>
      </c>
      <c r="G32" s="101" t="str">
        <f t="shared" si="4"/>
        <v>US$'000</v>
      </c>
      <c r="H32" s="101"/>
      <c r="J32" s="118"/>
      <c r="K32" s="118"/>
      <c r="L32" s="118"/>
      <c r="M32" s="118"/>
      <c r="N32" s="118"/>
    </row>
    <row r="33" spans="3:16" x14ac:dyDescent="0.2">
      <c r="D33" s="126"/>
      <c r="E33" s="90" t="s">
        <v>215</v>
      </c>
      <c r="G33" s="101" t="str">
        <f t="shared" si="4"/>
        <v>US$'000</v>
      </c>
      <c r="H33" s="101"/>
      <c r="J33" s="118"/>
      <c r="K33" s="118"/>
      <c r="L33" s="118"/>
      <c r="M33" s="118"/>
      <c r="N33" s="118"/>
    </row>
    <row r="34" spans="3:16" x14ac:dyDescent="0.2">
      <c r="D34" s="126"/>
      <c r="E34" s="90" t="s">
        <v>171</v>
      </c>
      <c r="G34" s="101" t="str">
        <f t="shared" si="4"/>
        <v>US$'000</v>
      </c>
      <c r="H34" s="101"/>
      <c r="J34" s="118"/>
      <c r="K34" s="118"/>
      <c r="L34" s="118"/>
      <c r="M34" s="118"/>
      <c r="N34" s="118"/>
    </row>
    <row r="35" spans="3:16" x14ac:dyDescent="0.2">
      <c r="D35" s="126"/>
      <c r="E35" s="66" t="str">
        <f>"Net "&amp;D29</f>
        <v>Net Financing Cash Flows</v>
      </c>
      <c r="G35" s="101" t="str">
        <f t="shared" si="4"/>
        <v>US$'000</v>
      </c>
      <c r="H35" s="101"/>
      <c r="J35" s="123">
        <f>SUM(J30:J34)</f>
        <v>0</v>
      </c>
      <c r="K35" s="123">
        <f t="shared" ref="K35:N35" si="5">SUM(K30:K34)</f>
        <v>0</v>
      </c>
      <c r="L35" s="123">
        <f t="shared" si="5"/>
        <v>0</v>
      </c>
      <c r="M35" s="123">
        <f t="shared" si="5"/>
        <v>0</v>
      </c>
      <c r="N35" s="123">
        <f t="shared" si="5"/>
        <v>0</v>
      </c>
    </row>
    <row r="36" spans="3:16" x14ac:dyDescent="0.2">
      <c r="D36" s="126"/>
      <c r="J36" s="118"/>
      <c r="K36" s="118"/>
      <c r="L36" s="118"/>
      <c r="M36" s="118"/>
      <c r="N36" s="118"/>
    </row>
    <row r="37" spans="3:16" ht="12.75" thickBot="1" x14ac:dyDescent="0.25">
      <c r="D37" s="66" t="s">
        <v>216</v>
      </c>
      <c r="G37" s="101" t="str">
        <f>Currency</f>
        <v>US$'000</v>
      </c>
      <c r="H37" s="101"/>
      <c r="J37" s="130">
        <f>J22+J27+J35</f>
        <v>243.83561643835617</v>
      </c>
      <c r="K37" s="130">
        <f t="shared" ref="K37:N37" si="6">K22+K27+K35</f>
        <v>309.26027397260276</v>
      </c>
      <c r="L37" s="130">
        <f t="shared" si="6"/>
        <v>340.90958904109596</v>
      </c>
      <c r="M37" s="130">
        <f t="shared" si="6"/>
        <v>369.12391071187977</v>
      </c>
      <c r="N37" s="130">
        <f t="shared" si="6"/>
        <v>388.64722353469585</v>
      </c>
    </row>
    <row r="38" spans="3:16" ht="12.75" thickTop="1" x14ac:dyDescent="0.2">
      <c r="C38" s="126"/>
      <c r="J38" s="118"/>
      <c r="K38" s="118"/>
      <c r="L38" s="118"/>
      <c r="M38" s="118"/>
      <c r="N38" s="118"/>
    </row>
    <row r="39" spans="3:16" x14ac:dyDescent="0.2">
      <c r="C39" s="126"/>
      <c r="J39" s="118"/>
      <c r="K39" s="118"/>
      <c r="L39" s="118"/>
      <c r="M39" s="118"/>
      <c r="N39" s="118"/>
    </row>
    <row r="40" spans="3:16" ht="16.5" x14ac:dyDescent="0.25">
      <c r="C40" s="63" t="s">
        <v>217</v>
      </c>
      <c r="G40" s="101" t="str">
        <f>Currency</f>
        <v>US$'000</v>
      </c>
      <c r="H40" s="101"/>
      <c r="J40" s="118"/>
      <c r="K40" s="118"/>
      <c r="L40" s="118"/>
      <c r="M40" s="118"/>
      <c r="N40" s="118"/>
    </row>
    <row r="41" spans="3:16" x14ac:dyDescent="0.2">
      <c r="C41" s="126"/>
      <c r="J41" s="118"/>
      <c r="K41" s="118"/>
      <c r="L41" s="118"/>
      <c r="M41" s="118"/>
      <c r="N41" s="118"/>
    </row>
    <row r="42" spans="3:16" x14ac:dyDescent="0.2">
      <c r="D42" s="66" t="s">
        <v>206</v>
      </c>
      <c r="J42" s="118"/>
      <c r="K42" s="118"/>
      <c r="L42" s="118"/>
      <c r="M42" s="118"/>
      <c r="N42" s="118"/>
    </row>
    <row r="43" spans="3:16" x14ac:dyDescent="0.2">
      <c r="E43" s="90" t="str">
        <f>'Income Statement'!D27</f>
        <v>NPAT</v>
      </c>
      <c r="G43" s="101" t="str">
        <f>Currency</f>
        <v>US$'000</v>
      </c>
      <c r="H43" s="101"/>
      <c r="I43"/>
      <c r="J43"/>
      <c r="K43"/>
      <c r="L43"/>
      <c r="M43"/>
      <c r="N43"/>
      <c r="O43"/>
      <c r="P43"/>
    </row>
    <row r="44" spans="3:16" x14ac:dyDescent="0.2">
      <c r="E44" s="90" t="s">
        <v>218</v>
      </c>
      <c r="G44" s="101" t="str">
        <f>Currency</f>
        <v>US$'000</v>
      </c>
      <c r="H44" s="101"/>
      <c r="I44"/>
      <c r="J44"/>
      <c r="K44"/>
      <c r="L44"/>
      <c r="M44"/>
      <c r="N44"/>
      <c r="O44"/>
      <c r="P44"/>
    </row>
    <row r="45" spans="3:16" x14ac:dyDescent="0.2">
      <c r="E45" s="131"/>
      <c r="F45" s="90" t="str">
        <f>'Income Statement'!D20</f>
        <v>Depreciation</v>
      </c>
      <c r="G45" s="101" t="str">
        <f>Currency</f>
        <v>US$'000</v>
      </c>
      <c r="H45" s="101"/>
      <c r="I45"/>
      <c r="J45"/>
      <c r="K45"/>
      <c r="L45"/>
      <c r="M45"/>
      <c r="N45"/>
      <c r="O45"/>
      <c r="P45"/>
    </row>
    <row r="46" spans="3:16" x14ac:dyDescent="0.2">
      <c r="E46" s="131"/>
      <c r="F46" s="90" t="str">
        <f>'Income Statement'!D23</f>
        <v>Interest Expense</v>
      </c>
      <c r="G46" s="101" t="str">
        <f>Currency</f>
        <v>US$'000</v>
      </c>
      <c r="H46" s="101"/>
      <c r="I46"/>
      <c r="J46"/>
      <c r="K46"/>
      <c r="L46"/>
      <c r="M46"/>
      <c r="N46"/>
      <c r="O46"/>
      <c r="P46"/>
    </row>
    <row r="47" spans="3:16" x14ac:dyDescent="0.2">
      <c r="E47" s="131"/>
      <c r="F47" s="90" t="str">
        <f>'Income Statement'!D26</f>
        <v>Tax Expense</v>
      </c>
      <c r="G47" s="101" t="str">
        <f>Currency</f>
        <v>US$'000</v>
      </c>
      <c r="H47" s="101"/>
      <c r="I47"/>
      <c r="J47"/>
      <c r="K47"/>
      <c r="L47"/>
      <c r="M47"/>
      <c r="N47"/>
      <c r="O47"/>
      <c r="P47"/>
    </row>
    <row r="48" spans="3:16" x14ac:dyDescent="0.2">
      <c r="E48" s="90" t="s">
        <v>219</v>
      </c>
      <c r="I48"/>
      <c r="J48"/>
      <c r="K48"/>
      <c r="L48"/>
      <c r="M48"/>
      <c r="N48"/>
      <c r="O48"/>
      <c r="P48"/>
    </row>
    <row r="49" spans="4:16" x14ac:dyDescent="0.2">
      <c r="E49" s="131"/>
      <c r="F49" s="90" t="s">
        <v>220</v>
      </c>
      <c r="G49" s="101" t="str">
        <f>Currency</f>
        <v>US$'000</v>
      </c>
      <c r="H49" s="101"/>
      <c r="I49"/>
      <c r="J49"/>
      <c r="K49"/>
      <c r="L49"/>
      <c r="M49"/>
      <c r="N49"/>
      <c r="O49"/>
      <c r="P49"/>
    </row>
    <row r="50" spans="4:16" x14ac:dyDescent="0.2">
      <c r="E50" s="131"/>
      <c r="F50" s="90" t="s">
        <v>221</v>
      </c>
      <c r="G50" s="101" t="str">
        <f>Currency</f>
        <v>US$'000</v>
      </c>
      <c r="H50" s="101"/>
      <c r="I50"/>
      <c r="J50"/>
      <c r="K50"/>
      <c r="L50"/>
      <c r="M50"/>
      <c r="N50"/>
      <c r="O50"/>
      <c r="P50"/>
    </row>
    <row r="51" spans="4:16" x14ac:dyDescent="0.2">
      <c r="E51" s="90" t="s">
        <v>222</v>
      </c>
      <c r="I51"/>
      <c r="J51"/>
      <c r="K51"/>
      <c r="L51"/>
      <c r="M51"/>
      <c r="N51"/>
      <c r="O51"/>
      <c r="P51"/>
    </row>
    <row r="52" spans="4:16" x14ac:dyDescent="0.2">
      <c r="E52" s="131"/>
      <c r="F52" s="90" t="str">
        <f>E20</f>
        <v>Interest Paid</v>
      </c>
      <c r="G52" s="101" t="str">
        <f>Currency</f>
        <v>US$'000</v>
      </c>
      <c r="H52" s="101"/>
      <c r="I52"/>
      <c r="J52"/>
      <c r="K52"/>
      <c r="L52"/>
      <c r="M52"/>
      <c r="N52"/>
      <c r="O52"/>
      <c r="P52"/>
    </row>
    <row r="53" spans="4:16" x14ac:dyDescent="0.2">
      <c r="E53" s="131"/>
      <c r="F53" s="90" t="str">
        <f>E21</f>
        <v>Tax Paid</v>
      </c>
      <c r="G53" s="101" t="str">
        <f>Currency</f>
        <v>US$'000</v>
      </c>
      <c r="H53" s="101"/>
      <c r="I53"/>
      <c r="J53"/>
      <c r="K53"/>
      <c r="L53"/>
      <c r="M53"/>
      <c r="N53"/>
      <c r="O53"/>
      <c r="P53"/>
    </row>
    <row r="54" spans="4:16" x14ac:dyDescent="0.2">
      <c r="D54" s="66" t="str">
        <f>"Net "&amp;D42</f>
        <v>Net Operating Cash Flow</v>
      </c>
      <c r="G54" s="101" t="str">
        <f>Currency</f>
        <v>US$'000</v>
      </c>
      <c r="H54" s="101"/>
      <c r="I54"/>
      <c r="J54"/>
      <c r="K54"/>
      <c r="L54"/>
      <c r="M54"/>
      <c r="N54"/>
      <c r="O54"/>
      <c r="P54"/>
    </row>
    <row r="55" spans="4:16" x14ac:dyDescent="0.2">
      <c r="G55" s="101"/>
      <c r="I55"/>
      <c r="J55"/>
      <c r="K55"/>
      <c r="L55"/>
      <c r="M55"/>
      <c r="N55"/>
      <c r="O55"/>
      <c r="P55"/>
    </row>
    <row r="56" spans="4:16" x14ac:dyDescent="0.2">
      <c r="I56"/>
      <c r="J56"/>
      <c r="K56"/>
      <c r="L56"/>
      <c r="M56"/>
      <c r="N56"/>
      <c r="O56"/>
      <c r="P56"/>
    </row>
    <row r="57" spans="4:16" x14ac:dyDescent="0.2">
      <c r="E57" s="90" t="str">
        <f>'Balance Sheet'!D55</f>
        <v>PF Error Check</v>
      </c>
      <c r="G57" s="101" t="str">
        <f>Boolean</f>
        <v>[1,0]</v>
      </c>
      <c r="I57"/>
      <c r="J57"/>
      <c r="K57"/>
      <c r="L57"/>
      <c r="M57"/>
      <c r="N57"/>
      <c r="O57"/>
      <c r="P57"/>
    </row>
    <row r="58" spans="4:16" x14ac:dyDescent="0.2">
      <c r="E58" s="90" t="s">
        <v>251</v>
      </c>
      <c r="G58" s="101" t="str">
        <f>Boolean</f>
        <v>[1,0]</v>
      </c>
      <c r="I58"/>
      <c r="J58"/>
      <c r="K58"/>
      <c r="L58"/>
      <c r="M58"/>
      <c r="N58"/>
      <c r="O58"/>
      <c r="P58"/>
    </row>
  </sheetData>
  <conditionalFormatting sqref="G10 G4">
    <cfRule type="cellIs" dxfId="6" priority="3" operator="notEqual">
      <formula>0</formula>
    </cfRule>
  </conditionalFormatting>
  <hyperlinks>
    <hyperlink ref="A3:E3" location="HL_Navigator" tooltip="Go to Navigator (Table of Contents)" display="Navigator" xr:uid="{00000000-0004-0000-0900-000000000000}"/>
    <hyperlink ref="A3" location="HL_Navigator" display="Navigator" xr:uid="{00000000-0004-0000-0900-000001000000}"/>
    <hyperlink ref="G4" location="Overall_Error_Check" tooltip="Go to Overall Error Check" display="Overall_Error_Check" xr:uid="{00000000-0004-0000-0900-00000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outlinePr summaryBelow="0"/>
  </sheetPr>
  <dimension ref="A1:S23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0.140625" customWidth="1"/>
    <col min="9" max="11" width="9.140625" customWidth="1"/>
    <col min="12" max="19" width="0" hidden="1" customWidth="1"/>
    <col min="20" max="16384" width="9.140625" hidden="1"/>
  </cols>
  <sheetData>
    <row r="1" spans="1:10" ht="20.25" x14ac:dyDescent="0.3">
      <c r="A1" s="46" t="str">
        <f ca="1">IFERROR(RIGHT(CELL("filename",A1),LEN(CELL("filename",A1))-FIND("]",CELL("filename",A1))),"")</f>
        <v>Error Checks</v>
      </c>
      <c r="I1" s="143"/>
      <c r="J1" s="143"/>
    </row>
    <row r="2" spans="1:10" ht="18" x14ac:dyDescent="0.25">
      <c r="A2" s="47" t="str">
        <f ca="1">Model_Name</f>
        <v>Chapter 10.06 - COGS.xlsm</v>
      </c>
    </row>
    <row r="3" spans="1:10" x14ac:dyDescent="0.2">
      <c r="A3" s="141" t="s">
        <v>1</v>
      </c>
      <c r="B3" s="58"/>
      <c r="C3" s="58"/>
      <c r="D3" s="58"/>
      <c r="E3" s="58"/>
    </row>
    <row r="4" spans="1:10" ht="14.25" x14ac:dyDescent="0.2">
      <c r="A4" t="s">
        <v>2</v>
      </c>
      <c r="F4" s="1">
        <f>Overall_Error_Check</f>
        <v>0</v>
      </c>
    </row>
    <row r="6" spans="1:10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</row>
    <row r="7" spans="1:10" ht="12.75" outlineLevel="1" thickTop="1" x14ac:dyDescent="0.2"/>
    <row r="8" spans="1:10" ht="16.5" outlineLevel="1" x14ac:dyDescent="0.25">
      <c r="C8" s="4" t="s">
        <v>67</v>
      </c>
    </row>
    <row r="9" spans="1:10" ht="16.5" outlineLevel="1" x14ac:dyDescent="0.25">
      <c r="C9" s="4"/>
    </row>
    <row r="10" spans="1:10" ht="16.5" outlineLevel="1" x14ac:dyDescent="0.25">
      <c r="C10" s="4"/>
      <c r="D10" s="5" t="s">
        <v>68</v>
      </c>
    </row>
    <row r="11" spans="1:10" outlineLevel="1" x14ac:dyDescent="0.2"/>
    <row r="12" spans="1:10" s="84" customFormat="1" outlineLevel="1" x14ac:dyDescent="0.2">
      <c r="E12" s="84" t="s">
        <v>252</v>
      </c>
      <c r="I12" s="133">
        <f>'Opening Balance Sheet'!I55</f>
        <v>0</v>
      </c>
    </row>
    <row r="13" spans="1:10" s="84" customFormat="1" outlineLevel="1" x14ac:dyDescent="0.2">
      <c r="E13" s="84" t="s">
        <v>253</v>
      </c>
      <c r="I13" s="133">
        <f>'Opening Balance Sheet'!I56</f>
        <v>0</v>
      </c>
    </row>
    <row r="14" spans="1:10" s="84" customFormat="1" outlineLevel="1" x14ac:dyDescent="0.2">
      <c r="E14" s="84" t="s">
        <v>254</v>
      </c>
      <c r="I14" s="133">
        <f>'Opening Balance Sheet'!I57</f>
        <v>0</v>
      </c>
    </row>
    <row r="15" spans="1:10" s="84" customFormat="1" outlineLevel="1" x14ac:dyDescent="0.2">
      <c r="E15" s="84" t="s">
        <v>255</v>
      </c>
      <c r="I15" s="133">
        <f>'Balance Sheet'!I55</f>
        <v>0</v>
      </c>
    </row>
    <row r="16" spans="1:10" outlineLevel="1" x14ac:dyDescent="0.2">
      <c r="E16" s="84" t="s">
        <v>256</v>
      </c>
      <c r="I16" s="133">
        <f>'Balance Sheet'!I56</f>
        <v>0</v>
      </c>
    </row>
    <row r="17" spans="5:9" outlineLevel="1" x14ac:dyDescent="0.2">
      <c r="E17" s="84" t="s">
        <v>257</v>
      </c>
      <c r="I17" s="133">
        <f>'Balance Sheet'!I57</f>
        <v>0</v>
      </c>
    </row>
    <row r="18" spans="5:9" outlineLevel="1" x14ac:dyDescent="0.2"/>
    <row r="19" spans="5:9" outlineLevel="1" x14ac:dyDescent="0.2"/>
    <row r="20" spans="5:9" outlineLevel="1" x14ac:dyDescent="0.2"/>
    <row r="21" spans="5:9" ht="15" outlineLevel="1" x14ac:dyDescent="0.25">
      <c r="E21" s="5" t="str">
        <f>C8</f>
        <v>Summary of Errors</v>
      </c>
      <c r="I21" s="94">
        <f>MIN(1,SUM(I11:I19))</f>
        <v>0</v>
      </c>
    </row>
    <row r="22" spans="5:9" outlineLevel="1" x14ac:dyDescent="0.2"/>
    <row r="23" spans="5:9" outlineLevel="1" x14ac:dyDescent="0.2"/>
  </sheetData>
  <mergeCells count="1">
    <mergeCell ref="I1:J1"/>
  </mergeCells>
  <conditionalFormatting sqref="F4">
    <cfRule type="cellIs" dxfId="5" priority="6" operator="notEqual">
      <formula>0</formula>
    </cfRule>
  </conditionalFormatting>
  <conditionalFormatting sqref="I21">
    <cfRule type="cellIs" dxfId="4" priority="2" operator="notEqual">
      <formula>0</formula>
    </cfRule>
  </conditionalFormatting>
  <conditionalFormatting sqref="I12:I17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38" customFormat="1" ht="20.25" x14ac:dyDescent="0.3">
      <c r="A1" s="46" t="str">
        <f ca="1">IFERROR(RIGHT(CELL("filename",A1),LEN(CELL("filename",A1))-FIND("]",CELL("filename",A1))),"")</f>
        <v>Timing</v>
      </c>
      <c r="I1" s="58"/>
      <c r="J1" s="58"/>
    </row>
    <row r="2" spans="1:15" s="38" customFormat="1" ht="18" x14ac:dyDescent="0.25">
      <c r="A2" s="47" t="str">
        <f ca="1">Model_Name</f>
        <v>Chapter 10.06 - COGS.xlsm</v>
      </c>
    </row>
    <row r="3" spans="1:15" s="38" customFormat="1" x14ac:dyDescent="0.2">
      <c r="A3" s="141" t="s">
        <v>1</v>
      </c>
      <c r="B3" s="58"/>
      <c r="C3" s="58"/>
      <c r="D3" s="58"/>
      <c r="E3" s="58"/>
    </row>
    <row r="4" spans="1:15" s="38" customFormat="1" ht="14.25" x14ac:dyDescent="0.2">
      <c r="A4" s="84" t="s">
        <v>2</v>
      </c>
      <c r="F4" s="1">
        <f>Overall_Error_Check</f>
        <v>0</v>
      </c>
    </row>
    <row r="5" spans="1:15" s="2" customFormat="1" x14ac:dyDescent="0.2">
      <c r="J5" s="40">
        <f>J$7</f>
        <v>44377</v>
      </c>
      <c r="K5" s="40">
        <f>K$7</f>
        <v>44742</v>
      </c>
      <c r="L5" s="40">
        <f>L$7</f>
        <v>45107</v>
      </c>
      <c r="M5" s="40">
        <f>M$7</f>
        <v>45473</v>
      </c>
      <c r="N5" s="40">
        <f>N$7</f>
        <v>45838</v>
      </c>
    </row>
    <row r="6" spans="1:15" s="38" customFormat="1" x14ac:dyDescent="0.2">
      <c r="C6" s="2" t="s">
        <v>71</v>
      </c>
      <c r="J6" s="39">
        <f>IF(J$9=1,Model_Start_Date,I$7+1)</f>
        <v>44013</v>
      </c>
      <c r="K6" s="39">
        <f>IF(K$9=1,Model_Start_Date,J$7+1)</f>
        <v>44378</v>
      </c>
      <c r="L6" s="39">
        <f>IF(L$9=1,Model_Start_Date,K$7+1)</f>
        <v>44743</v>
      </c>
      <c r="M6" s="39">
        <f>IF(M$9=1,Model_Start_Date,L$7+1)</f>
        <v>45108</v>
      </c>
      <c r="N6" s="39">
        <f>IF(N$9=1,Model_Start_Date,M$7+1)</f>
        <v>45474</v>
      </c>
    </row>
    <row r="7" spans="1:15" s="38" customFormat="1" x14ac:dyDescent="0.2">
      <c r="C7" s="2" t="s">
        <v>72</v>
      </c>
      <c r="J7" s="39">
        <f>EOMONTH(J$6,MOD(Periodicity+Reporting_Month_Factor-MONTH(J$6),Periodicity))</f>
        <v>44377</v>
      </c>
      <c r="K7" s="39">
        <f>EOMONTH(K$6,MOD(Periodicity+Reporting_Month_Factor-MONTH(K$6),Periodicity))</f>
        <v>44742</v>
      </c>
      <c r="L7" s="39">
        <f>EOMONTH(L$6,MOD(Periodicity+Reporting_Month_Factor-MONTH(L$6),Periodicity))</f>
        <v>45107</v>
      </c>
      <c r="M7" s="39">
        <f>EOMONTH(M$6,MOD(Periodicity+Reporting_Month_Factor-MONTH(M$6),Periodicity))</f>
        <v>45473</v>
      </c>
      <c r="N7" s="39">
        <f>EOMONTH(N$6,MOD(Periodicity+Reporting_Month_Factor-MONTH(N$6),Periodicity))</f>
        <v>45838</v>
      </c>
    </row>
    <row r="8" spans="1:15" s="38" customFormat="1" x14ac:dyDescent="0.2">
      <c r="C8" s="2" t="s">
        <v>74</v>
      </c>
      <c r="J8" s="35">
        <f>J7-J6+1</f>
        <v>365</v>
      </c>
      <c r="K8" s="35">
        <f t="shared" ref="K8:N8" si="0">K7-K6+1</f>
        <v>365</v>
      </c>
      <c r="L8" s="35">
        <f t="shared" si="0"/>
        <v>365</v>
      </c>
      <c r="M8" s="35">
        <f t="shared" si="0"/>
        <v>366</v>
      </c>
      <c r="N8" s="35">
        <f t="shared" si="0"/>
        <v>365</v>
      </c>
    </row>
    <row r="9" spans="1:15" s="38" customFormat="1" x14ac:dyDescent="0.2">
      <c r="C9" s="2" t="s">
        <v>73</v>
      </c>
      <c r="I9" s="24"/>
      <c r="J9" s="35">
        <f>N(I$9)+1</f>
        <v>1</v>
      </c>
      <c r="K9" s="35">
        <f t="shared" ref="K9:N9" si="1">N(J$9)+1</f>
        <v>2</v>
      </c>
      <c r="L9" s="35">
        <f t="shared" si="1"/>
        <v>3</v>
      </c>
      <c r="M9" s="35">
        <f t="shared" si="1"/>
        <v>4</v>
      </c>
      <c r="N9" s="35">
        <f t="shared" si="1"/>
        <v>5</v>
      </c>
    </row>
    <row r="10" spans="1:15" s="38" customFormat="1" x14ac:dyDescent="0.2"/>
    <row r="11" spans="1:15" s="38" customFormat="1" ht="16.5" thickBot="1" x14ac:dyDescent="0.3">
      <c r="B11" s="48">
        <f>MAX($B$10:$B10)+1</f>
        <v>1</v>
      </c>
      <c r="C11" s="42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38" customFormat="1" ht="12.75" thickTop="1" x14ac:dyDescent="0.2"/>
    <row r="13" spans="1:15" s="38" customFormat="1" ht="16.5" x14ac:dyDescent="0.25">
      <c r="C13" s="4" t="s">
        <v>76</v>
      </c>
    </row>
    <row r="15" spans="1:15" x14ac:dyDescent="0.2">
      <c r="D15" t="s">
        <v>77</v>
      </c>
      <c r="H15" s="136">
        <v>44013</v>
      </c>
    </row>
    <row r="17" spans="4:9" x14ac:dyDescent="0.2">
      <c r="D17" t="s">
        <v>78</v>
      </c>
      <c r="H17" s="49">
        <v>12</v>
      </c>
    </row>
    <row r="19" spans="4:9" x14ac:dyDescent="0.2">
      <c r="D19" t="s">
        <v>79</v>
      </c>
      <c r="H19" s="49">
        <v>6</v>
      </c>
      <c r="I19" s="19" t="str">
        <f>"e.g. "&amp;TEXT(DATE(YEAR(Model_Start_Date)+IF(Example_Reporting_Month&lt;MONTH(Model_Start_Date),1,0),Example_Reporting_Month+1,1)-1,"dd-Mmm-yy")</f>
        <v>e.g. 30-Jun-21</v>
      </c>
    </row>
    <row r="21" spans="4:9" x14ac:dyDescent="0.2">
      <c r="D21" t="s">
        <v>80</v>
      </c>
      <c r="H21" s="36">
        <f>MOD(Example_Reporting_Month-1,Periodicity)+1</f>
        <v>6</v>
      </c>
    </row>
    <row r="23" spans="4:9" x14ac:dyDescent="0.2">
      <c r="D23" t="s">
        <v>81</v>
      </c>
      <c r="H23" s="57">
        <v>12</v>
      </c>
    </row>
  </sheetData>
  <conditionalFormatting sqref="F4">
    <cfRule type="cellIs" dxfId="2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B00-000000000000}">
      <formula1>"1,2,3,4,6,12"</formula1>
    </dataValidation>
  </dataValidations>
  <hyperlinks>
    <hyperlink ref="F4" location="Overall_Error_Check" tooltip="Go to Overall Error Check" display="Overall_Error_Check" xr:uid="{00000000-0004-0000-0B00-000000000000}"/>
    <hyperlink ref="A3:E3" location="HL_Navigator" tooltip="Go to Navigator (Table of Contents)" display="Navigator" xr:uid="{00000000-0004-0000-0B00-000001000000}"/>
    <hyperlink ref="A3" location="HL_Navigator" display="Navigator" xr:uid="{00000000-0004-0000-0B00-00000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5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6.28515625" bestFit="1" customWidth="1"/>
    <col min="5" max="5" width="1.7109375" customWidth="1"/>
    <col min="6" max="6" width="15" bestFit="1" customWidth="1"/>
    <col min="8" max="8" width="33.85546875" bestFit="1" customWidth="1"/>
  </cols>
  <sheetData>
    <row r="1" spans="1:9" s="60" customFormat="1" ht="20.25" x14ac:dyDescent="0.3">
      <c r="A1" s="46" t="str">
        <f ca="1">IFERROR(RIGHT(CELL("filename",A1),LEN(CELL("filename",A1))-FIND("]",CELL("filename",A1))),"")</f>
        <v>Lookup</v>
      </c>
      <c r="H1" s="137"/>
      <c r="I1" s="137"/>
    </row>
    <row r="2" spans="1:9" s="60" customFormat="1" ht="18" x14ac:dyDescent="0.25">
      <c r="A2" s="47" t="str">
        <f ca="1">Model_Name</f>
        <v>Chapter 10.06 - COGS.xlsm</v>
      </c>
    </row>
    <row r="3" spans="1:9" s="60" customFormat="1" x14ac:dyDescent="0.2">
      <c r="A3" s="141" t="s">
        <v>1</v>
      </c>
      <c r="B3" s="58"/>
      <c r="C3" s="58"/>
      <c r="D3" s="58"/>
      <c r="E3" s="58"/>
    </row>
    <row r="4" spans="1:9" s="60" customFormat="1" ht="14.25" x14ac:dyDescent="0.2">
      <c r="A4" s="60" t="s">
        <v>2</v>
      </c>
      <c r="G4" s="1">
        <f>Overall_Error_Check</f>
        <v>0</v>
      </c>
    </row>
    <row r="6" spans="1:9" ht="16.5" thickBot="1" x14ac:dyDescent="0.3">
      <c r="B6" s="48">
        <f>MAX($B$5:$B5)+1</f>
        <v>1</v>
      </c>
      <c r="C6" s="42" t="str">
        <f ca="1">A1</f>
        <v>Lookup</v>
      </c>
      <c r="D6" s="3"/>
      <c r="E6" s="3"/>
      <c r="F6" s="3"/>
      <c r="G6" s="3"/>
      <c r="H6" s="3"/>
      <c r="I6" s="3"/>
    </row>
    <row r="7" spans="1:9" ht="12.75" thickTop="1" x14ac:dyDescent="0.2"/>
    <row r="8" spans="1:9" ht="16.5" x14ac:dyDescent="0.25">
      <c r="C8" s="63" t="s">
        <v>121</v>
      </c>
    </row>
    <row r="10" spans="1:9" x14ac:dyDescent="0.2">
      <c r="D10" s="138" t="str">
        <f>F11</f>
        <v>LU_Future_Years</v>
      </c>
    </row>
    <row r="11" spans="1:9" x14ac:dyDescent="0.2">
      <c r="D11" s="134">
        <f ca="1">OFFSET(Timing!$J$7,,ROWS($A$9:$A9))</f>
        <v>44742</v>
      </c>
      <c r="F11" s="64" t="s">
        <v>123</v>
      </c>
      <c r="H11" s="19" t="str">
        <f ca="1">_xlfn.FORMULATEXT(D11)</f>
        <v>=OFFSET(Timing!$J$7,,ROWS($A$9:$A9))</v>
      </c>
    </row>
    <row r="12" spans="1:9" x14ac:dyDescent="0.2">
      <c r="D12" s="134">
        <f ca="1">OFFSET(Timing!$J$7,,ROWS($A$9:$A10))</f>
        <v>45107</v>
      </c>
      <c r="H12" s="19" t="str">
        <f t="shared" ref="H12:H14" ca="1" si="0">_xlfn.FORMULATEXT(D12)</f>
        <v>=OFFSET(Timing!$J$7,,ROWS($A$9:$A10))</v>
      </c>
    </row>
    <row r="13" spans="1:9" x14ac:dyDescent="0.2">
      <c r="D13" s="134">
        <f ca="1">OFFSET(Timing!$J$7,,ROWS($A$9:$A11))</f>
        <v>45473</v>
      </c>
      <c r="H13" s="19" t="str">
        <f t="shared" ca="1" si="0"/>
        <v>=OFFSET(Timing!$J$7,,ROWS($A$9:$A11))</v>
      </c>
    </row>
    <row r="14" spans="1:9" x14ac:dyDescent="0.2">
      <c r="D14" s="134">
        <f ca="1">OFFSET(Timing!$J$7,,ROWS($A$9:$A12))</f>
        <v>45838</v>
      </c>
      <c r="H14" s="19" t="str">
        <f t="shared" ca="1" si="0"/>
        <v>=OFFSET(Timing!$J$7,,ROWS($A$9:$A12))</v>
      </c>
    </row>
    <row r="15" spans="1:9" x14ac:dyDescent="0.2">
      <c r="D15" s="135" t="s">
        <v>122</v>
      </c>
      <c r="H15" s="19"/>
    </row>
  </sheetData>
  <conditionalFormatting sqref="G4">
    <cfRule type="cellIs" dxfId="1" priority="1" operator="notEqual">
      <formula>0</formula>
    </cfRule>
  </conditionalFormatting>
  <hyperlinks>
    <hyperlink ref="A3:E3" location="HL_Navigator" tooltip="Go to Navigator (Table of Contents)" display="Navigator" xr:uid="{00000000-0004-0000-0C00-000000000000}"/>
    <hyperlink ref="A3" location="HL_Navigator" display="Navigator" xr:uid="{00000000-0004-0000-0C00-000001000000}"/>
    <hyperlink ref="G4" location="Overall_Error_Check" tooltip="Go to Overall Error Check" display="Overall_Error_Check" xr:uid="{00000000-0004-0000-0C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IFERROR(RIGHT(CELL("filename",A1),LEN(CELL("filename",A1))-FIND("]",CELL("filename",A1))),"")</f>
        <v>Change Log</v>
      </c>
      <c r="I1" s="58"/>
      <c r="J1" s="58"/>
      <c r="K1" s="45"/>
    </row>
    <row r="2" spans="1:12" s="2" customFormat="1" ht="18" x14ac:dyDescent="0.25">
      <c r="A2" s="47" t="str">
        <f ca="1">Model_Name</f>
        <v>Chapter 10.06 - COGS.xlsm</v>
      </c>
    </row>
    <row r="3" spans="1:12" s="2" customFormat="1" x14ac:dyDescent="0.2">
      <c r="A3" s="141" t="s">
        <v>1</v>
      </c>
      <c r="B3" s="58"/>
      <c r="C3" s="58"/>
      <c r="D3" s="58"/>
      <c r="E3" s="58"/>
    </row>
    <row r="4" spans="1:12" s="2" customFormat="1" ht="14.25" x14ac:dyDescent="0.2">
      <c r="A4" s="2" t="s">
        <v>2</v>
      </c>
      <c r="F4" s="1">
        <f>Overall_Error_Check</f>
        <v>0</v>
      </c>
    </row>
    <row r="5" spans="1:12" s="2" customFormat="1" x14ac:dyDescent="0.2"/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1" t="s">
        <v>62</v>
      </c>
      <c r="G10" s="11" t="s">
        <v>83</v>
      </c>
      <c r="H10" s="11" t="s">
        <v>84</v>
      </c>
      <c r="I10" s="11" t="s">
        <v>85</v>
      </c>
      <c r="J10" s="11" t="s">
        <v>86</v>
      </c>
      <c r="K10" s="11" t="s">
        <v>89</v>
      </c>
    </row>
    <row r="11" spans="1:12" x14ac:dyDescent="0.2">
      <c r="F11" s="39">
        <v>41415</v>
      </c>
      <c r="G11" t="s">
        <v>92</v>
      </c>
      <c r="H11" s="2" t="s">
        <v>88</v>
      </c>
      <c r="I11" s="2" t="s">
        <v>82</v>
      </c>
      <c r="J11" s="56" t="s">
        <v>90</v>
      </c>
      <c r="K11" s="2" t="s">
        <v>91</v>
      </c>
    </row>
    <row r="12" spans="1:12" x14ac:dyDescent="0.2">
      <c r="F12" s="39">
        <v>41415</v>
      </c>
      <c r="G12" t="s">
        <v>92</v>
      </c>
      <c r="H12" t="s">
        <v>93</v>
      </c>
      <c r="I12" t="s">
        <v>70</v>
      </c>
      <c r="J12" s="56" t="s">
        <v>95</v>
      </c>
      <c r="K12" s="2" t="s">
        <v>91</v>
      </c>
    </row>
    <row r="13" spans="1:12" x14ac:dyDescent="0.2">
      <c r="F13" s="39">
        <v>41415</v>
      </c>
      <c r="G13" t="s">
        <v>92</v>
      </c>
      <c r="H13" t="s">
        <v>94</v>
      </c>
      <c r="I13" t="s">
        <v>1</v>
      </c>
      <c r="J13" s="56" t="s">
        <v>96</v>
      </c>
      <c r="K13" s="2" t="s">
        <v>97</v>
      </c>
    </row>
    <row r="14" spans="1:12" x14ac:dyDescent="0.2">
      <c r="F14" s="39"/>
    </row>
    <row r="15" spans="1:12" x14ac:dyDescent="0.2">
      <c r="F15" s="39"/>
    </row>
    <row r="16" spans="1:12" x14ac:dyDescent="0.2">
      <c r="F16" s="39"/>
    </row>
    <row r="17" spans="6:6" x14ac:dyDescent="0.2">
      <c r="F17" s="39"/>
    </row>
    <row r="18" spans="6:6" x14ac:dyDescent="0.2">
      <c r="F18" s="39"/>
    </row>
    <row r="19" spans="6:6" x14ac:dyDescent="0.2">
      <c r="F19" s="39"/>
    </row>
    <row r="20" spans="6:6" x14ac:dyDescent="0.2">
      <c r="F20" s="39"/>
    </row>
    <row r="21" spans="6:6" x14ac:dyDescent="0.2">
      <c r="F21" s="39"/>
    </row>
    <row r="22" spans="6:6" x14ac:dyDescent="0.2">
      <c r="F22" s="39"/>
    </row>
  </sheetData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D00-000000000000}"/>
    <hyperlink ref="A3:E3" location="HL_Navigator" tooltip="Go to Navigator (Table of Contents)" display="Navigator" xr:uid="{00000000-0004-0000-0D00-000001000000}"/>
    <hyperlink ref="A3" location="HL_Navigator" display="Navigator" xr:uid="{00000000-0004-0000-0D00-00000200000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90" customWidth="1"/>
    <col min="6" max="6" width="17.7109375" style="90" customWidth="1"/>
    <col min="7" max="16384" width="9.140625" style="90"/>
  </cols>
  <sheetData>
    <row r="1" spans="1:12" ht="20.25" x14ac:dyDescent="0.3">
      <c r="A1" s="46" t="str">
        <f ca="1">IFERROR(RIGHT(CELL("filename",A1),LEN(CELL("filename",A1))-FIND("]",CELL("filename",A1))),"")</f>
        <v>Navigator</v>
      </c>
      <c r="F1" s="115"/>
      <c r="G1" s="115"/>
    </row>
    <row r="2" spans="1:12" ht="18" x14ac:dyDescent="0.25">
      <c r="A2" s="47" t="str">
        <f ca="1">Model_Name</f>
        <v>Chapter 10.06 - COGS.xlsm</v>
      </c>
    </row>
    <row r="3" spans="1:12" x14ac:dyDescent="0.2">
      <c r="A3" s="143" t="s">
        <v>1</v>
      </c>
      <c r="B3" s="143"/>
      <c r="C3" s="143"/>
      <c r="D3" s="91"/>
      <c r="E3" s="91"/>
    </row>
    <row r="4" spans="1:12" x14ac:dyDescent="0.2">
      <c r="A4" s="90" t="s">
        <v>2</v>
      </c>
      <c r="G4" s="116">
        <f>Overall_Error_Check</f>
        <v>0</v>
      </c>
    </row>
    <row r="7" spans="1:12" ht="16.5" thickBot="1" x14ac:dyDescent="0.3">
      <c r="B7" s="48">
        <v>1</v>
      </c>
      <c r="C7" s="117" t="s">
        <v>25</v>
      </c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2.75" thickTop="1" x14ac:dyDescent="0.2"/>
    <row r="9" spans="1:12" x14ac:dyDescent="0.2">
      <c r="F9" s="141" t="s">
        <v>26</v>
      </c>
    </row>
    <row r="10" spans="1:12" x14ac:dyDescent="0.2">
      <c r="F10" s="141" t="s">
        <v>27</v>
      </c>
    </row>
    <row r="11" spans="1:12" x14ac:dyDescent="0.2">
      <c r="F11" s="141" t="s">
        <v>0</v>
      </c>
    </row>
    <row r="12" spans="1:12" x14ac:dyDescent="0.2">
      <c r="F12" s="141" t="s">
        <v>229</v>
      </c>
    </row>
    <row r="13" spans="1:12" x14ac:dyDescent="0.2">
      <c r="F13" s="141" t="s">
        <v>124</v>
      </c>
    </row>
    <row r="14" spans="1:12" x14ac:dyDescent="0.2">
      <c r="F14" s="141" t="s">
        <v>223</v>
      </c>
    </row>
    <row r="15" spans="1:12" x14ac:dyDescent="0.2">
      <c r="F15" s="141" t="s">
        <v>224</v>
      </c>
    </row>
    <row r="16" spans="1:12" x14ac:dyDescent="0.2">
      <c r="F16" s="141" t="s">
        <v>225</v>
      </c>
    </row>
    <row r="17" spans="6:6" x14ac:dyDescent="0.2">
      <c r="F17" s="141" t="s">
        <v>226</v>
      </c>
    </row>
    <row r="18" spans="6:6" x14ac:dyDescent="0.2">
      <c r="F18" s="141" t="s">
        <v>66</v>
      </c>
    </row>
    <row r="19" spans="6:6" x14ac:dyDescent="0.2">
      <c r="F19" s="141" t="s">
        <v>70</v>
      </c>
    </row>
    <row r="20" spans="6:6" x14ac:dyDescent="0.2">
      <c r="F20" s="141" t="s">
        <v>276</v>
      </c>
    </row>
    <row r="21" spans="6:6" x14ac:dyDescent="0.2">
      <c r="F21" s="141" t="s">
        <v>82</v>
      </c>
    </row>
    <row r="22" spans="6:6" x14ac:dyDescent="0.2">
      <c r="F22" s="80"/>
    </row>
    <row r="23" spans="6:6" x14ac:dyDescent="0.2">
      <c r="F23" s="80"/>
    </row>
    <row r="24" spans="6:6" x14ac:dyDescent="0.2">
      <c r="F24" s="80"/>
    </row>
    <row r="25" spans="6:6" x14ac:dyDescent="0.2">
      <c r="F25" s="80"/>
    </row>
    <row r="26" spans="6:6" x14ac:dyDescent="0.2">
      <c r="F26" s="80"/>
    </row>
    <row r="27" spans="6:6" x14ac:dyDescent="0.2">
      <c r="F27" s="80"/>
    </row>
    <row r="28" spans="6:6" x14ac:dyDescent="0.2">
      <c r="F28" s="80"/>
    </row>
    <row r="29" spans="6:6" x14ac:dyDescent="0.2">
      <c r="F29" s="80"/>
    </row>
    <row r="30" spans="6:6" x14ac:dyDescent="0.2">
      <c r="F30" s="80"/>
    </row>
    <row r="31" spans="6:6" x14ac:dyDescent="0.2">
      <c r="F31" s="80"/>
    </row>
    <row r="32" spans="6:6" x14ac:dyDescent="0.2">
      <c r="F32" s="80"/>
    </row>
    <row r="33" spans="6:6" x14ac:dyDescent="0.2">
      <c r="F33" s="80"/>
    </row>
    <row r="34" spans="6:6" x14ac:dyDescent="0.2">
      <c r="F34" s="80"/>
    </row>
    <row r="35" spans="6:6" x14ac:dyDescent="0.2">
      <c r="F35" s="80"/>
    </row>
    <row r="36" spans="6:6" x14ac:dyDescent="0.2">
      <c r="F36" s="80"/>
    </row>
    <row r="37" spans="6:6" x14ac:dyDescent="0.2">
      <c r="F37" s="80"/>
    </row>
    <row r="38" spans="6:6" x14ac:dyDescent="0.2">
      <c r="F38" s="80"/>
    </row>
    <row r="39" spans="6:6" x14ac:dyDescent="0.2">
      <c r="F39" s="80"/>
    </row>
    <row r="40" spans="6:6" x14ac:dyDescent="0.2">
      <c r="F40" s="80"/>
    </row>
    <row r="41" spans="6:6" x14ac:dyDescent="0.2">
      <c r="F41" s="80"/>
    </row>
    <row r="42" spans="6:6" x14ac:dyDescent="0.2">
      <c r="F42" s="80"/>
    </row>
    <row r="43" spans="6:6" x14ac:dyDescent="0.2">
      <c r="F43" s="80"/>
    </row>
  </sheetData>
  <mergeCells count="1">
    <mergeCell ref="A3:C3"/>
  </mergeCells>
  <hyperlinks>
    <hyperlink ref="F9" location="HL_1" display="Cover" xr:uid="{BB027C5D-5ECC-4D58-B631-55BD3B88F7A2}"/>
    <hyperlink ref="F10" location="HL_3" display="Style Guide" xr:uid="{6E1094CD-1F03-4D1C-B117-09C5F3BD86AB}"/>
    <hyperlink ref="F11" location="HL_4" display="Model Parameters" xr:uid="{E570CCB9-CE85-408C-8561-A68581DD1124}"/>
    <hyperlink ref="F12" location="HL_5" display="General Assumptions" xr:uid="{6A4D8B15-BE2F-43F8-8C11-D28E43218F30}"/>
    <hyperlink ref="F13" location="HL_6" display="Calculations" xr:uid="{4D9A2C83-AC18-4780-8C39-94197120EB88}"/>
    <hyperlink ref="F14" location="HL_7" display="Opening Balance Sheet" xr:uid="{340F21FF-1E26-42FE-B7FE-B5F0D224BBF3}"/>
    <hyperlink ref="F15" location="HL_8" display="Income Statement" xr:uid="{54B461B3-6214-4CC6-9FAA-CE5CB220E7A0}"/>
    <hyperlink ref="F16" location="HL_9" display="Balance Sheet" xr:uid="{B6ED2FDF-DF6E-4AF8-B5C2-5246AC95B92A}"/>
    <hyperlink ref="F17" location="HL_10" display="Cash Flow Statement" xr:uid="{F1BD9431-7A52-40AA-9E95-7A751D49854A}"/>
    <hyperlink ref="F18" location="HL_11" display="Error Checks" xr:uid="{49252A67-C202-45A0-89AE-90DC60546910}"/>
    <hyperlink ref="F19" location="HL_12" display="Timing" xr:uid="{B3A8AD84-9D4B-449E-8610-283528948C84}"/>
    <hyperlink ref="F20" location="HL_13" display="Lookup" xr:uid="{833456EB-0C12-41EF-92C0-233510E2E830}"/>
    <hyperlink ref="F21" location="HL_14" display="Change Log" xr:uid="{5DB13164-0451-4569-8594-F68B7C2CD57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IFERROR(RIGHT(CELL("filename",A1),LEN(CELL("filename",A1))-FIND("]",CELL("filename",A1))),"")</f>
        <v>Style Guide</v>
      </c>
      <c r="K1" s="10"/>
    </row>
    <row r="2" spans="1:13" ht="18" x14ac:dyDescent="0.25">
      <c r="A2" s="47" t="str">
        <f ca="1">Model_Name</f>
        <v>Chapter 10.06 - COGS.xlsm</v>
      </c>
    </row>
    <row r="3" spans="1:13" x14ac:dyDescent="0.2">
      <c r="A3" s="141" t="s">
        <v>1</v>
      </c>
      <c r="B3" s="58"/>
      <c r="C3" s="58"/>
      <c r="D3" s="58"/>
      <c r="E3" s="58"/>
    </row>
    <row r="4" spans="1:13" ht="14.25" x14ac:dyDescent="0.2">
      <c r="A4" t="s">
        <v>2</v>
      </c>
      <c r="I4" s="1">
        <f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45" t="s">
        <v>29</v>
      </c>
      <c r="D8" s="145"/>
      <c r="E8" s="145"/>
      <c r="F8" s="145"/>
      <c r="G8" s="145"/>
      <c r="H8" s="11"/>
      <c r="I8" s="11" t="s">
        <v>30</v>
      </c>
      <c r="J8" s="11"/>
      <c r="K8" s="11" t="s">
        <v>31</v>
      </c>
    </row>
    <row r="9" spans="1:13" outlineLevel="1" x14ac:dyDescent="0.2">
      <c r="C9" s="144"/>
      <c r="D9" s="144"/>
      <c r="E9" s="144"/>
      <c r="F9" s="144"/>
      <c r="G9" s="144"/>
      <c r="H9" s="44"/>
      <c r="I9" s="44"/>
      <c r="J9" s="14"/>
      <c r="K9" s="16"/>
    </row>
    <row r="10" spans="1:13" ht="20.25" outlineLevel="1" x14ac:dyDescent="0.3">
      <c r="C10" s="144" t="s">
        <v>32</v>
      </c>
      <c r="D10" s="144"/>
      <c r="E10" s="144"/>
      <c r="F10" s="144"/>
      <c r="G10" s="144"/>
      <c r="H10" s="12"/>
      <c r="I10" s="13" t="str">
        <f>C10</f>
        <v>Sheet Title</v>
      </c>
      <c r="J10" s="14"/>
      <c r="K10" s="15" t="s">
        <v>32</v>
      </c>
    </row>
    <row r="11" spans="1:13" ht="15" outlineLevel="1" x14ac:dyDescent="0.25">
      <c r="C11" s="144" t="s">
        <v>5</v>
      </c>
      <c r="D11" s="144"/>
      <c r="E11" s="144"/>
      <c r="F11" s="144"/>
      <c r="G11" s="144"/>
      <c r="H11" s="12"/>
      <c r="I11" s="26" t="str">
        <f>C11</f>
        <v>Model Name</v>
      </c>
      <c r="J11" s="14"/>
      <c r="K11" s="15" t="s">
        <v>5</v>
      </c>
    </row>
    <row r="12" spans="1:13" outlineLevel="1" x14ac:dyDescent="0.2">
      <c r="C12" s="144"/>
      <c r="D12" s="144"/>
      <c r="E12" s="144"/>
      <c r="F12" s="144"/>
      <c r="G12" s="144"/>
      <c r="H12" s="12"/>
      <c r="I12" s="12"/>
      <c r="J12" s="14"/>
      <c r="K12" s="16"/>
    </row>
    <row r="13" spans="1:13" ht="16.5" outlineLevel="1" thickBot="1" x14ac:dyDescent="0.3">
      <c r="C13" s="144" t="s">
        <v>33</v>
      </c>
      <c r="D13" s="144"/>
      <c r="E13" s="144"/>
      <c r="F13" s="144"/>
      <c r="G13" s="144"/>
      <c r="H13" s="12"/>
      <c r="I13" s="43" t="str">
        <f>C13</f>
        <v>Header 1</v>
      </c>
      <c r="J13" s="14"/>
      <c r="K13" s="15" t="s">
        <v>33</v>
      </c>
    </row>
    <row r="14" spans="1:13" ht="17.25" outlineLevel="1" thickTop="1" x14ac:dyDescent="0.25">
      <c r="C14" s="144" t="s">
        <v>34</v>
      </c>
      <c r="D14" s="144"/>
      <c r="E14" s="144"/>
      <c r="F14" s="144"/>
      <c r="G14" s="144"/>
      <c r="H14" s="12"/>
      <c r="I14" s="4" t="str">
        <f>C14</f>
        <v>Header 2</v>
      </c>
      <c r="J14" s="14"/>
      <c r="K14" s="15" t="s">
        <v>34</v>
      </c>
    </row>
    <row r="15" spans="1:13" ht="15" outlineLevel="1" x14ac:dyDescent="0.25">
      <c r="C15" s="144" t="s">
        <v>35</v>
      </c>
      <c r="D15" s="144"/>
      <c r="E15" s="144"/>
      <c r="F15" s="144"/>
      <c r="G15" s="144"/>
      <c r="H15" s="12"/>
      <c r="I15" s="17" t="str">
        <f>C15</f>
        <v>Header 3</v>
      </c>
      <c r="J15" s="14"/>
      <c r="K15" s="15" t="s">
        <v>35</v>
      </c>
    </row>
    <row r="16" spans="1:13" ht="15" outlineLevel="1" x14ac:dyDescent="0.25">
      <c r="C16" s="144" t="s">
        <v>36</v>
      </c>
      <c r="D16" s="144"/>
      <c r="E16" s="144"/>
      <c r="F16" s="144"/>
      <c r="G16" s="144"/>
      <c r="H16" s="12"/>
      <c r="I16" s="18" t="str">
        <f>C16</f>
        <v>Header 4</v>
      </c>
      <c r="J16" s="14"/>
      <c r="K16" s="15" t="s">
        <v>36</v>
      </c>
    </row>
    <row r="17" spans="2:14" outlineLevel="1" x14ac:dyDescent="0.2">
      <c r="C17" s="144"/>
      <c r="D17" s="144"/>
      <c r="E17" s="144"/>
      <c r="F17" s="144"/>
      <c r="G17" s="144"/>
      <c r="H17" s="12"/>
      <c r="I17" s="12"/>
      <c r="J17" s="14"/>
      <c r="K17" s="16"/>
    </row>
    <row r="18" spans="2:14" ht="15" outlineLevel="1" x14ac:dyDescent="0.25">
      <c r="C18" s="144" t="s">
        <v>37</v>
      </c>
      <c r="D18" s="144"/>
      <c r="E18" s="144"/>
      <c r="F18" s="144"/>
      <c r="G18" s="144"/>
      <c r="H18" s="12"/>
      <c r="I18" s="19" t="str">
        <f>C18</f>
        <v>Notes</v>
      </c>
      <c r="J18" s="14"/>
      <c r="K18" s="15" t="s">
        <v>37</v>
      </c>
    </row>
    <row r="19" spans="2:14" outlineLevel="1" x14ac:dyDescent="0.2">
      <c r="C19" s="144"/>
      <c r="D19" s="144"/>
      <c r="E19" s="144"/>
      <c r="F19" s="144"/>
      <c r="G19" s="144"/>
      <c r="H19" s="12"/>
      <c r="I19" s="12"/>
      <c r="J19" s="14"/>
      <c r="K19" s="16"/>
      <c r="N19" s="19"/>
    </row>
    <row r="20" spans="2:14" ht="15" outlineLevel="1" x14ac:dyDescent="0.25">
      <c r="C20" s="144" t="s">
        <v>38</v>
      </c>
      <c r="D20" s="144"/>
      <c r="E20" s="144"/>
      <c r="F20" s="144"/>
      <c r="G20" s="144"/>
      <c r="H20" s="12"/>
      <c r="I20" s="20" t="str">
        <f>C20</f>
        <v>Table Heading</v>
      </c>
      <c r="J20" s="14"/>
      <c r="K20" s="15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47" t="s">
        <v>29</v>
      </c>
      <c r="D25" s="147"/>
      <c r="E25" s="147"/>
      <c r="F25" s="147"/>
      <c r="G25" s="147"/>
      <c r="H25" s="20"/>
      <c r="I25" s="20" t="s">
        <v>30</v>
      </c>
      <c r="J25" s="20"/>
      <c r="K25" s="20" t="s">
        <v>31</v>
      </c>
    </row>
    <row r="26" spans="2:14" ht="15" outlineLevel="1" x14ac:dyDescent="0.25">
      <c r="C26" s="144"/>
      <c r="D26" s="144"/>
      <c r="E26" s="144"/>
      <c r="F26" s="144"/>
      <c r="G26" s="144"/>
      <c r="H26" s="44"/>
      <c r="I26" s="44"/>
      <c r="J26" s="14"/>
      <c r="K26" s="15"/>
    </row>
    <row r="27" spans="2:14" ht="15" outlineLevel="1" x14ac:dyDescent="0.25">
      <c r="C27" s="144" t="s">
        <v>40</v>
      </c>
      <c r="D27" s="144"/>
      <c r="E27" s="144"/>
      <c r="F27" s="144"/>
      <c r="G27" s="144"/>
      <c r="H27" s="12"/>
      <c r="I27" s="21" t="s">
        <v>40</v>
      </c>
      <c r="J27" s="12"/>
      <c r="K27" s="22" t="str">
        <f>C27</f>
        <v>Assumption</v>
      </c>
    </row>
    <row r="28" spans="2:14" ht="15" outlineLevel="1" x14ac:dyDescent="0.25">
      <c r="C28" s="144"/>
      <c r="D28" s="144"/>
      <c r="E28" s="144"/>
      <c r="F28" s="144"/>
      <c r="G28" s="144"/>
      <c r="H28" s="12"/>
      <c r="I28" s="12"/>
      <c r="J28" s="12"/>
      <c r="K28" s="22"/>
    </row>
    <row r="29" spans="2:14" ht="15" outlineLevel="1" x14ac:dyDescent="0.25">
      <c r="C29" s="144" t="s">
        <v>41</v>
      </c>
      <c r="D29" s="144"/>
      <c r="E29" s="144"/>
      <c r="F29" s="144"/>
      <c r="G29" s="144"/>
      <c r="H29" s="12"/>
      <c r="I29" s="23" t="str">
        <f>C29</f>
        <v>Constraint</v>
      </c>
      <c r="J29" s="12"/>
      <c r="K29" s="22" t="str">
        <f>C29</f>
        <v>Constraint</v>
      </c>
    </row>
    <row r="30" spans="2:14" ht="15" outlineLevel="1" x14ac:dyDescent="0.25">
      <c r="C30" s="144"/>
      <c r="D30" s="144"/>
      <c r="E30" s="144"/>
      <c r="F30" s="144"/>
      <c r="G30" s="144"/>
      <c r="H30" s="12"/>
      <c r="I30" s="12"/>
      <c r="J30" s="12"/>
      <c r="K30" s="22"/>
    </row>
    <row r="31" spans="2:14" ht="15" outlineLevel="1" x14ac:dyDescent="0.25">
      <c r="C31" s="146" t="s">
        <v>42</v>
      </c>
      <c r="D31" s="146"/>
      <c r="E31" s="146"/>
      <c r="F31" s="146"/>
      <c r="G31" s="146"/>
      <c r="I31" s="24"/>
      <c r="K31" s="22" t="str">
        <f>C31</f>
        <v>Empty</v>
      </c>
    </row>
    <row r="32" spans="2:14" ht="15" outlineLevel="1" x14ac:dyDescent="0.25">
      <c r="C32" s="146"/>
      <c r="D32" s="146"/>
      <c r="E32" s="146"/>
      <c r="F32" s="146"/>
      <c r="G32" s="146"/>
      <c r="K32" s="22"/>
    </row>
    <row r="33" spans="3:11" ht="15" outlineLevel="1" x14ac:dyDescent="0.25">
      <c r="C33" t="s">
        <v>43</v>
      </c>
      <c r="I33" s="25">
        <v>0</v>
      </c>
      <c r="K33" s="22" t="str">
        <f>C33</f>
        <v>Error Check</v>
      </c>
    </row>
    <row r="34" spans="3:11" ht="15" outlineLevel="1" x14ac:dyDescent="0.25">
      <c r="K34" s="22"/>
    </row>
    <row r="35" spans="3:11" ht="15" outlineLevel="1" x14ac:dyDescent="0.25">
      <c r="C35" s="146" t="s">
        <v>44</v>
      </c>
      <c r="D35" s="146"/>
      <c r="E35" s="146"/>
      <c r="F35" s="146"/>
      <c r="G35" s="146"/>
      <c r="I35" s="10" t="s">
        <v>44</v>
      </c>
      <c r="K35" s="22" t="str">
        <f>C35</f>
        <v>Hyperlink</v>
      </c>
    </row>
    <row r="36" spans="3:11" ht="15" outlineLevel="1" x14ac:dyDescent="0.25">
      <c r="C36" s="146"/>
      <c r="D36" s="146"/>
      <c r="E36" s="146"/>
      <c r="F36" s="146"/>
      <c r="G36" s="146"/>
      <c r="K36" s="22"/>
    </row>
    <row r="37" spans="3:11" ht="15" outlineLevel="1" x14ac:dyDescent="0.25">
      <c r="C37" s="146" t="s">
        <v>45</v>
      </c>
      <c r="D37" s="146"/>
      <c r="E37" s="146"/>
      <c r="F37" s="146"/>
      <c r="G37" s="146"/>
      <c r="I37" s="26" t="str">
        <f>'Error Checks'!E16</f>
        <v>Balance Sheet - balances</v>
      </c>
      <c r="K37" s="22" t="str">
        <f>C37</f>
        <v>Internal Reference</v>
      </c>
    </row>
    <row r="38" spans="3:11" ht="15" outlineLevel="1" x14ac:dyDescent="0.25">
      <c r="C38" s="146"/>
      <c r="D38" s="146"/>
      <c r="E38" s="146"/>
      <c r="F38" s="146"/>
      <c r="G38" s="146"/>
      <c r="K38" s="22"/>
    </row>
    <row r="39" spans="3:11" ht="15" outlineLevel="1" x14ac:dyDescent="0.25">
      <c r="C39" s="146" t="s">
        <v>46</v>
      </c>
      <c r="D39" s="146"/>
      <c r="E39" s="146"/>
      <c r="F39" s="146"/>
      <c r="G39" s="146"/>
      <c r="I39" s="27">
        <v>77</v>
      </c>
      <c r="K39" s="22" t="s">
        <v>47</v>
      </c>
    </row>
    <row r="40" spans="3:11" ht="15" outlineLevel="1" x14ac:dyDescent="0.25">
      <c r="C40" s="146"/>
      <c r="D40" s="146"/>
      <c r="E40" s="146"/>
      <c r="F40" s="146"/>
      <c r="G40" s="146"/>
      <c r="K40" s="22"/>
    </row>
    <row r="41" spans="3:11" ht="15" outlineLevel="1" x14ac:dyDescent="0.25">
      <c r="C41" s="146" t="s">
        <v>48</v>
      </c>
      <c r="D41" s="146"/>
      <c r="E41" s="146"/>
      <c r="F41" s="146"/>
      <c r="G41" s="146"/>
      <c r="I41" s="28">
        <f>I39</f>
        <v>77</v>
      </c>
      <c r="K41" s="22" t="str">
        <f>C41</f>
        <v>Line Total</v>
      </c>
    </row>
    <row r="42" spans="3:11" ht="15" outlineLevel="1" x14ac:dyDescent="0.25">
      <c r="C42" s="146"/>
      <c r="D42" s="146"/>
      <c r="E42" s="146"/>
      <c r="F42" s="146"/>
      <c r="G42" s="146"/>
      <c r="K42" s="22"/>
    </row>
    <row r="43" spans="3:11" ht="15" outlineLevel="1" x14ac:dyDescent="0.25">
      <c r="C43" s="146" t="s">
        <v>49</v>
      </c>
      <c r="D43" s="146"/>
      <c r="E43" s="146"/>
      <c r="F43" s="146"/>
      <c r="G43" s="146"/>
      <c r="I43" s="29">
        <v>365</v>
      </c>
      <c r="K43" s="22" t="str">
        <f>C43</f>
        <v>Parameter</v>
      </c>
    </row>
    <row r="44" spans="3:11" ht="15" outlineLevel="1" x14ac:dyDescent="0.25">
      <c r="C44" s="146"/>
      <c r="D44" s="146"/>
      <c r="E44" s="146"/>
      <c r="F44" s="146"/>
      <c r="G44" s="146"/>
      <c r="K44" s="22"/>
    </row>
    <row r="45" spans="3:11" ht="15" outlineLevel="1" x14ac:dyDescent="0.25">
      <c r="C45" s="146" t="s">
        <v>50</v>
      </c>
      <c r="D45" s="146"/>
      <c r="E45" s="146"/>
      <c r="F45" s="146"/>
      <c r="G45" s="146"/>
      <c r="I45" s="30" t="s">
        <v>51</v>
      </c>
      <c r="K45" s="22" t="str">
        <f>C45</f>
        <v>Range Name Description</v>
      </c>
    </row>
    <row r="46" spans="3:11" ht="15" outlineLevel="1" x14ac:dyDescent="0.25">
      <c r="C46" s="146"/>
      <c r="D46" s="146"/>
      <c r="E46" s="146"/>
      <c r="F46" s="146"/>
      <c r="G46" s="146"/>
      <c r="K46" s="22"/>
    </row>
    <row r="47" spans="3:11" ht="15" outlineLevel="1" x14ac:dyDescent="0.25">
      <c r="C47" s="146" t="s">
        <v>52</v>
      </c>
      <c r="D47" s="146"/>
      <c r="E47" s="146"/>
      <c r="F47" s="146"/>
      <c r="G47" s="146"/>
      <c r="I47" s="31">
        <f>ROW(C47)</f>
        <v>47</v>
      </c>
      <c r="K47" s="22" t="s">
        <v>53</v>
      </c>
    </row>
    <row r="48" spans="3:11" ht="15" outlineLevel="1" x14ac:dyDescent="0.25">
      <c r="C48" s="146"/>
      <c r="D48" s="146"/>
      <c r="E48" s="146"/>
      <c r="F48" s="146"/>
      <c r="G48" s="146"/>
      <c r="K48" s="22"/>
    </row>
    <row r="49" spans="2:13" ht="15" outlineLevel="1" x14ac:dyDescent="0.25">
      <c r="C49" s="146" t="s">
        <v>54</v>
      </c>
      <c r="D49" s="146"/>
      <c r="E49" s="146"/>
      <c r="F49" s="146"/>
      <c r="G49" s="146"/>
      <c r="I49" s="32">
        <f>I41</f>
        <v>77</v>
      </c>
      <c r="K49" s="22" t="str">
        <f>C49</f>
        <v>Row Summary</v>
      </c>
    </row>
    <row r="50" spans="2:13" ht="15" outlineLevel="1" x14ac:dyDescent="0.25">
      <c r="C50" s="146"/>
      <c r="D50" s="146"/>
      <c r="E50" s="146"/>
      <c r="F50" s="146"/>
      <c r="G50" s="146"/>
      <c r="K50" s="22"/>
    </row>
    <row r="51" spans="2:13" ht="15" outlineLevel="1" x14ac:dyDescent="0.25">
      <c r="C51" s="146" t="s">
        <v>55</v>
      </c>
      <c r="D51" s="146"/>
      <c r="E51" s="146"/>
      <c r="F51" s="146"/>
      <c r="G51" s="146"/>
      <c r="I51" s="33" t="str">
        <f>Currency</f>
        <v>US$'000</v>
      </c>
      <c r="K51" s="22" t="str">
        <f>C51</f>
        <v>Units</v>
      </c>
    </row>
    <row r="52" spans="2:13" ht="15" outlineLevel="1" x14ac:dyDescent="0.25">
      <c r="C52" s="146"/>
      <c r="D52" s="146"/>
      <c r="E52" s="146"/>
      <c r="F52" s="146"/>
      <c r="G52" s="146"/>
      <c r="K52" s="22"/>
    </row>
    <row r="53" spans="2:13" ht="15" outlineLevel="1" x14ac:dyDescent="0.25">
      <c r="C53" s="146" t="s">
        <v>56</v>
      </c>
      <c r="D53" s="146"/>
      <c r="E53" s="146"/>
      <c r="F53" s="146"/>
      <c r="G53" s="146"/>
      <c r="I53" s="34"/>
      <c r="K53" s="22" t="str">
        <f>C53</f>
        <v>WIP</v>
      </c>
    </row>
    <row r="54" spans="2:13" ht="15" outlineLevel="1" x14ac:dyDescent="0.25">
      <c r="C54" s="146"/>
      <c r="D54" s="146"/>
      <c r="E54" s="146"/>
      <c r="F54" s="146"/>
      <c r="G54" s="146"/>
      <c r="K54" s="22"/>
    </row>
    <row r="55" spans="2:13" outlineLevel="1" x14ac:dyDescent="0.2">
      <c r="C55" s="146"/>
      <c r="D55" s="146"/>
      <c r="E55" s="146"/>
      <c r="F55" s="146"/>
      <c r="G55" s="146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45" t="s">
        <v>29</v>
      </c>
      <c r="D58" s="145"/>
      <c r="E58" s="145"/>
      <c r="F58" s="145"/>
      <c r="G58" s="145"/>
      <c r="H58" s="11"/>
      <c r="I58" s="11" t="s">
        <v>30</v>
      </c>
      <c r="J58" s="11"/>
      <c r="K58" s="11" t="s">
        <v>31</v>
      </c>
    </row>
    <row r="59" spans="2:13" outlineLevel="1" x14ac:dyDescent="0.2"/>
    <row r="60" spans="2:13" ht="15" outlineLevel="1" x14ac:dyDescent="0.25">
      <c r="C60" s="146" t="s">
        <v>58</v>
      </c>
      <c r="D60" s="146"/>
      <c r="E60" s="146"/>
      <c r="F60" s="146"/>
      <c r="G60" s="146"/>
      <c r="I60" s="51">
        <v>123456.789</v>
      </c>
      <c r="K60" s="22" t="str">
        <f t="shared" ref="K60:K66" si="0">C60</f>
        <v>Comma</v>
      </c>
    </row>
    <row r="61" spans="2:13" ht="15" outlineLevel="1" x14ac:dyDescent="0.25">
      <c r="C61" s="146"/>
      <c r="D61" s="146"/>
      <c r="E61" s="146"/>
      <c r="F61" s="146"/>
      <c r="G61" s="146"/>
      <c r="K61" s="22"/>
    </row>
    <row r="62" spans="2:13" ht="15" outlineLevel="1" x14ac:dyDescent="0.25">
      <c r="C62" s="146" t="s">
        <v>59</v>
      </c>
      <c r="D62" s="146"/>
      <c r="E62" s="146"/>
      <c r="F62" s="146"/>
      <c r="G62" s="146"/>
      <c r="I62" s="50">
        <v>-123456.789</v>
      </c>
      <c r="K62" s="22" t="str">
        <f t="shared" si="0"/>
        <v>Comma [0]</v>
      </c>
    </row>
    <row r="63" spans="2:13" ht="15" outlineLevel="1" x14ac:dyDescent="0.25">
      <c r="C63" s="146"/>
      <c r="D63" s="146"/>
      <c r="E63" s="146"/>
      <c r="F63" s="146"/>
      <c r="G63" s="146"/>
      <c r="K63" s="22"/>
    </row>
    <row r="64" spans="2:13" ht="15" outlineLevel="1" x14ac:dyDescent="0.25">
      <c r="C64" s="146" t="s">
        <v>60</v>
      </c>
      <c r="D64" s="146"/>
      <c r="E64" s="146"/>
      <c r="F64" s="146"/>
      <c r="G64" s="146"/>
      <c r="I64" s="52">
        <v>123456.789</v>
      </c>
      <c r="K64" s="22" t="str">
        <f t="shared" si="0"/>
        <v>Currency</v>
      </c>
    </row>
    <row r="65" spans="3:11" ht="15" outlineLevel="1" x14ac:dyDescent="0.25">
      <c r="C65" s="146"/>
      <c r="D65" s="146"/>
      <c r="E65" s="146"/>
      <c r="F65" s="146"/>
      <c r="G65" s="146"/>
      <c r="K65" s="22"/>
    </row>
    <row r="66" spans="3:11" ht="15" outlineLevel="1" x14ac:dyDescent="0.25">
      <c r="C66" s="146" t="s">
        <v>61</v>
      </c>
      <c r="D66" s="146"/>
      <c r="E66" s="146"/>
      <c r="F66" s="146"/>
      <c r="G66" s="146"/>
      <c r="I66" s="53">
        <v>123456.789</v>
      </c>
      <c r="K66" s="22" t="str">
        <f t="shared" si="0"/>
        <v>Currency [0]</v>
      </c>
    </row>
    <row r="67" spans="3:11" ht="15" outlineLevel="1" x14ac:dyDescent="0.25">
      <c r="C67" s="146"/>
      <c r="D67" s="146"/>
      <c r="E67" s="146"/>
      <c r="F67" s="146"/>
      <c r="G67" s="146"/>
      <c r="K67" s="22"/>
    </row>
    <row r="68" spans="3:11" ht="15" outlineLevel="1" x14ac:dyDescent="0.25">
      <c r="C68" s="144" t="s">
        <v>62</v>
      </c>
      <c r="D68" s="144"/>
      <c r="E68" s="144"/>
      <c r="F68" s="144"/>
      <c r="G68" s="144"/>
      <c r="H68" s="12"/>
      <c r="I68" s="54">
        <f ca="1">TODAY()</f>
        <v>43285</v>
      </c>
      <c r="J68" s="12"/>
      <c r="K68" s="22" t="str">
        <f>C68</f>
        <v>Date</v>
      </c>
    </row>
    <row r="69" spans="3:11" ht="15" outlineLevel="1" x14ac:dyDescent="0.25">
      <c r="C69" s="144"/>
      <c r="D69" s="144"/>
      <c r="E69" s="144"/>
      <c r="F69" s="144"/>
      <c r="G69" s="144"/>
      <c r="H69" s="12"/>
      <c r="I69" s="12"/>
      <c r="J69" s="12"/>
      <c r="K69" s="22"/>
    </row>
    <row r="70" spans="3:11" ht="15" outlineLevel="1" x14ac:dyDescent="0.25">
      <c r="C70" s="144" t="s">
        <v>63</v>
      </c>
      <c r="D70" s="144"/>
      <c r="E70" s="144"/>
      <c r="F70" s="144"/>
      <c r="G70" s="144"/>
      <c r="H70" s="12"/>
      <c r="I70" s="55">
        <f ca="1">TODAY()</f>
        <v>43285</v>
      </c>
      <c r="J70" s="12"/>
      <c r="K70" s="22" t="str">
        <f>C70</f>
        <v>Date Heading</v>
      </c>
    </row>
    <row r="71" spans="3:11" ht="15" outlineLevel="1" x14ac:dyDescent="0.25">
      <c r="C71" s="146"/>
      <c r="D71" s="146"/>
      <c r="E71" s="146"/>
      <c r="F71" s="146"/>
      <c r="G71" s="146"/>
      <c r="K71" s="22"/>
    </row>
    <row r="72" spans="3:11" ht="15" outlineLevel="1" x14ac:dyDescent="0.25">
      <c r="C72" s="146" t="s">
        <v>64</v>
      </c>
      <c r="D72" s="146"/>
      <c r="E72" s="146"/>
      <c r="F72" s="146"/>
      <c r="G72" s="146"/>
      <c r="I72" s="36">
        <v>-123456.789</v>
      </c>
      <c r="K72" s="22" t="str">
        <f>C72</f>
        <v>Numbers 0</v>
      </c>
    </row>
    <row r="73" spans="3:11" ht="15" outlineLevel="1" x14ac:dyDescent="0.25">
      <c r="C73" s="146"/>
      <c r="D73" s="146"/>
      <c r="E73" s="146"/>
      <c r="F73" s="146"/>
      <c r="G73" s="146"/>
      <c r="K73" s="22"/>
    </row>
    <row r="74" spans="3:11" ht="15" outlineLevel="1" x14ac:dyDescent="0.25">
      <c r="C74" s="146" t="s">
        <v>65</v>
      </c>
      <c r="D74" s="146"/>
      <c r="E74" s="146"/>
      <c r="F74" s="146"/>
      <c r="G74" s="146"/>
      <c r="I74" s="37">
        <v>0.5</v>
      </c>
      <c r="K74" s="22" t="str">
        <f>C74</f>
        <v>Percent</v>
      </c>
    </row>
    <row r="75" spans="3:11" outlineLevel="1" x14ac:dyDescent="0.2">
      <c r="C75" s="146"/>
      <c r="D75" s="146"/>
      <c r="E75" s="146"/>
      <c r="F75" s="146"/>
      <c r="G75" s="146"/>
    </row>
    <row r="76" spans="3:11" outlineLevel="1" x14ac:dyDescent="0.2">
      <c r="C76" s="146"/>
      <c r="D76" s="146"/>
      <c r="E76" s="146"/>
      <c r="F76" s="146"/>
      <c r="G76" s="146"/>
    </row>
    <row r="77" spans="3:11" x14ac:dyDescent="0.2">
      <c r="C77" s="146"/>
      <c r="D77" s="146"/>
      <c r="E77" s="146"/>
      <c r="F77" s="146"/>
      <c r="G77" s="146"/>
    </row>
    <row r="78" spans="3:11" x14ac:dyDescent="0.2">
      <c r="C78" s="146"/>
      <c r="D78" s="146"/>
      <c r="E78" s="146"/>
      <c r="F78" s="146"/>
      <c r="G78" s="146"/>
    </row>
    <row r="79" spans="3:11" x14ac:dyDescent="0.2">
      <c r="C79" s="146"/>
      <c r="D79" s="146"/>
      <c r="E79" s="146"/>
      <c r="F79" s="146"/>
      <c r="G79" s="146"/>
    </row>
    <row r="80" spans="3:11" x14ac:dyDescent="0.2">
      <c r="C80" s="146"/>
      <c r="D80" s="146"/>
      <c r="E80" s="146"/>
      <c r="F80" s="146"/>
      <c r="G80" s="146"/>
    </row>
    <row r="81" spans="3:7" x14ac:dyDescent="0.2">
      <c r="C81" s="146"/>
      <c r="D81" s="146"/>
      <c r="E81" s="146"/>
      <c r="F81" s="146"/>
      <c r="G81" s="146"/>
    </row>
  </sheetData>
  <mergeCells count="65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7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XEZ60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90" customWidth="1"/>
    <col min="6" max="6" width="16.28515625" style="90" customWidth="1"/>
    <col min="7" max="7" width="14.42578125" style="90" customWidth="1"/>
    <col min="8" max="8" width="3" style="90" customWidth="1"/>
    <col min="9" max="9" width="9.140625" style="90" customWidth="1"/>
    <col min="10" max="14" width="1.7109375" style="90" customWidth="1"/>
    <col min="15" max="15" width="9.140625" style="90" customWidth="1"/>
    <col min="16" max="16" width="1.7109375" style="90" customWidth="1"/>
    <col min="17" max="16380" width="9.140625" style="90" hidden="1"/>
    <col min="16381" max="16384" width="0.140625" style="90" customWidth="1"/>
  </cols>
  <sheetData>
    <row r="1" spans="1:15" ht="20.25" x14ac:dyDescent="0.3">
      <c r="A1" s="46" t="str">
        <f ca="1">IFERROR(RIGHT(CELL("filename",A1),LEN(CELL("filename",A1))-FIND("]",CELL("filename",A1))),"")</f>
        <v>Model Parameters</v>
      </c>
      <c r="J1" s="148"/>
      <c r="K1" s="148"/>
    </row>
    <row r="2" spans="1:15" ht="18" x14ac:dyDescent="0.25">
      <c r="A2" s="47" t="str">
        <f ca="1">Model_Name</f>
        <v>Chapter 10.06 - COGS.xlsm</v>
      </c>
    </row>
    <row r="3" spans="1:15" x14ac:dyDescent="0.2">
      <c r="A3" s="141" t="s">
        <v>1</v>
      </c>
      <c r="B3" s="108"/>
      <c r="C3" s="108"/>
      <c r="D3" s="108"/>
      <c r="E3" s="108"/>
    </row>
    <row r="4" spans="1:15" x14ac:dyDescent="0.2">
      <c r="A4" s="90" t="str">
        <f>Timing!A4</f>
        <v>Error Checks:</v>
      </c>
      <c r="I4" s="106">
        <f>Overall_Error_Check</f>
        <v>0</v>
      </c>
    </row>
    <row r="6" spans="1:15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63" t="s">
        <v>4</v>
      </c>
    </row>
    <row r="9" spans="1:15" outlineLevel="1" x14ac:dyDescent="0.2">
      <c r="C9" s="110"/>
    </row>
    <row r="10" spans="1:15" ht="15" outlineLevel="1" x14ac:dyDescent="0.25">
      <c r="C10" s="110"/>
      <c r="D10" s="5" t="s">
        <v>3</v>
      </c>
    </row>
    <row r="11" spans="1:15" ht="15" outlineLevel="1" x14ac:dyDescent="0.25">
      <c r="C11" s="110"/>
      <c r="D11" s="5"/>
    </row>
    <row r="12" spans="1:15" outlineLevel="1" x14ac:dyDescent="0.2">
      <c r="E12" s="90" t="s">
        <v>5</v>
      </c>
      <c r="G12" s="149" t="str">
        <f ca="1">IFERROR(MID(CELL("filename",A1),FIND("[",CELL("filename",A1))+1,FIND("]",CELL("filename",A1))-FIND("[",CELL("filename",A1))-1),””)</f>
        <v>Chapter 10.06 - COGS.xlsm</v>
      </c>
      <c r="H12" s="150"/>
      <c r="I12" s="150"/>
      <c r="J12" s="150"/>
      <c r="K12" s="150"/>
      <c r="L12" s="150"/>
      <c r="M12" s="150"/>
      <c r="N12" s="151"/>
    </row>
    <row r="13" spans="1:15" outlineLevel="1" x14ac:dyDescent="0.2">
      <c r="E13" s="90" t="s">
        <v>6</v>
      </c>
      <c r="G13" s="152" t="s">
        <v>69</v>
      </c>
      <c r="H13" s="152"/>
      <c r="I13" s="152"/>
      <c r="J13" s="152"/>
      <c r="K13" s="152"/>
      <c r="L13" s="152"/>
      <c r="M13" s="152"/>
      <c r="N13" s="152"/>
    </row>
    <row r="14" spans="1:15" outlineLevel="1" x14ac:dyDescent="0.2"/>
    <row r="15" spans="1:15" outlineLevel="1" x14ac:dyDescent="0.2"/>
    <row r="16" spans="1:15" ht="16.5" thickBot="1" x14ac:dyDescent="0.3">
      <c r="B16" s="48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9" ht="12.75" outlineLevel="1" thickTop="1" x14ac:dyDescent="0.2"/>
    <row r="18" spans="3:9" ht="16.5" outlineLevel="1" x14ac:dyDescent="0.25">
      <c r="C18" s="63" t="s">
        <v>8</v>
      </c>
    </row>
    <row r="19" spans="3:9" outlineLevel="1" x14ac:dyDescent="0.2"/>
    <row r="20" spans="3:9" outlineLevel="1" x14ac:dyDescent="0.2">
      <c r="E20" s="90" t="s">
        <v>9</v>
      </c>
      <c r="G20" s="111">
        <v>365</v>
      </c>
      <c r="I20" s="19" t="s">
        <v>258</v>
      </c>
    </row>
    <row r="21" spans="3:9" outlineLevel="1" x14ac:dyDescent="0.2">
      <c r="E21" s="90" t="s">
        <v>10</v>
      </c>
      <c r="G21" s="111">
        <v>1</v>
      </c>
      <c r="I21" s="19" t="s">
        <v>259</v>
      </c>
    </row>
    <row r="22" spans="3:9" outlineLevel="1" x14ac:dyDescent="0.2">
      <c r="E22" s="90" t="s">
        <v>11</v>
      </c>
      <c r="G22" s="111">
        <v>3</v>
      </c>
      <c r="I22" s="19" t="s">
        <v>260</v>
      </c>
    </row>
    <row r="23" spans="3:9" outlineLevel="1" x14ac:dyDescent="0.2">
      <c r="E23" s="90" t="s">
        <v>12</v>
      </c>
      <c r="G23" s="111">
        <v>6</v>
      </c>
      <c r="I23" s="19" t="s">
        <v>261</v>
      </c>
    </row>
    <row r="24" spans="3:9" outlineLevel="1" x14ac:dyDescent="0.2">
      <c r="E24" s="90" t="s">
        <v>13</v>
      </c>
      <c r="G24" s="111">
        <v>12</v>
      </c>
      <c r="I24" s="19" t="s">
        <v>262</v>
      </c>
    </row>
    <row r="25" spans="3:9" outlineLevel="1" x14ac:dyDescent="0.2">
      <c r="E25" s="90" t="s">
        <v>14</v>
      </c>
      <c r="G25" s="111">
        <v>4</v>
      </c>
      <c r="I25" s="19" t="s">
        <v>263</v>
      </c>
    </row>
    <row r="26" spans="3:9" outlineLevel="1" x14ac:dyDescent="0.2">
      <c r="I26" s="19"/>
    </row>
    <row r="27" spans="3:9" outlineLevel="1" x14ac:dyDescent="0.2">
      <c r="E27" s="90" t="s">
        <v>15</v>
      </c>
      <c r="G27" s="111">
        <v>5</v>
      </c>
      <c r="I27" s="19" t="s">
        <v>264</v>
      </c>
    </row>
    <row r="28" spans="3:9" outlineLevel="1" x14ac:dyDescent="0.2">
      <c r="I28" s="19"/>
    </row>
    <row r="29" spans="3:9" outlineLevel="1" x14ac:dyDescent="0.2">
      <c r="E29" s="90" t="s">
        <v>16</v>
      </c>
      <c r="G29" s="112">
        <v>9.9999999999999997E+98</v>
      </c>
      <c r="I29" s="19" t="s">
        <v>265</v>
      </c>
    </row>
    <row r="30" spans="3:9" outlineLevel="1" x14ac:dyDescent="0.2">
      <c r="E30" s="90" t="s">
        <v>17</v>
      </c>
      <c r="G30" s="112">
        <v>1E-8</v>
      </c>
      <c r="I30" s="19" t="s">
        <v>266</v>
      </c>
    </row>
    <row r="31" spans="3:9" outlineLevel="1" x14ac:dyDescent="0.2">
      <c r="I31" s="19"/>
    </row>
    <row r="32" spans="3:9" outlineLevel="1" x14ac:dyDescent="0.2">
      <c r="E32" s="90" t="s">
        <v>18</v>
      </c>
      <c r="G32" s="111">
        <v>1000</v>
      </c>
      <c r="I32" s="19" t="s">
        <v>18</v>
      </c>
    </row>
    <row r="33" spans="2:15" outlineLevel="1" x14ac:dyDescent="0.2"/>
    <row r="34" spans="2:15" outlineLevel="1" x14ac:dyDescent="0.2"/>
    <row r="35" spans="2:15" ht="16.5" thickBot="1" x14ac:dyDescent="0.3">
      <c r="B35" s="48">
        <f>MAX($B$5:$B34)+1</f>
        <v>3</v>
      </c>
      <c r="C35" s="3" t="s">
        <v>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 outlineLevel="1" thickTop="1" x14ac:dyDescent="0.2"/>
    <row r="37" spans="2:15" ht="16.5" outlineLevel="1" x14ac:dyDescent="0.25">
      <c r="C37" s="63" t="s">
        <v>99</v>
      </c>
    </row>
    <row r="38" spans="2:15" outlineLevel="1" x14ac:dyDescent="0.2"/>
    <row r="39" spans="2:15" outlineLevel="1" x14ac:dyDescent="0.2">
      <c r="E39" s="90" t="s">
        <v>71</v>
      </c>
      <c r="G39" s="113">
        <f>Model_Start_Date</f>
        <v>44013</v>
      </c>
    </row>
    <row r="40" spans="2:15" outlineLevel="1" x14ac:dyDescent="0.2">
      <c r="G40" s="114"/>
    </row>
    <row r="41" spans="2:15" outlineLevel="1" x14ac:dyDescent="0.2">
      <c r="G41" s="114"/>
    </row>
    <row r="42" spans="2:15" ht="16.5" outlineLevel="1" x14ac:dyDescent="0.25">
      <c r="C42" s="63" t="s">
        <v>55</v>
      </c>
    </row>
    <row r="43" spans="2:15" outlineLevel="1" x14ac:dyDescent="0.2"/>
    <row r="44" spans="2:15" outlineLevel="1" x14ac:dyDescent="0.2">
      <c r="E44" s="90" t="s">
        <v>173</v>
      </c>
      <c r="G44" s="111" t="s">
        <v>250</v>
      </c>
      <c r="I44" s="19" t="s">
        <v>173</v>
      </c>
    </row>
    <row r="45" spans="2:15" outlineLevel="1" x14ac:dyDescent="0.2">
      <c r="E45" s="90" t="s">
        <v>60</v>
      </c>
      <c r="G45" s="111" t="s">
        <v>231</v>
      </c>
      <c r="I45" s="19" t="s">
        <v>60</v>
      </c>
    </row>
    <row r="46" spans="2:15" outlineLevel="1" x14ac:dyDescent="0.2">
      <c r="E46" s="90" t="s">
        <v>100</v>
      </c>
      <c r="G46" s="111" t="s">
        <v>104</v>
      </c>
      <c r="I46" s="19" t="s">
        <v>100</v>
      </c>
    </row>
    <row r="47" spans="2:15" outlineLevel="1" x14ac:dyDescent="0.2">
      <c r="E47" s="90" t="s">
        <v>101</v>
      </c>
      <c r="G47" s="111" t="s">
        <v>105</v>
      </c>
      <c r="I47" s="19" t="s">
        <v>101</v>
      </c>
    </row>
    <row r="48" spans="2:15" outlineLevel="1" x14ac:dyDescent="0.2">
      <c r="E48" s="90" t="s">
        <v>232</v>
      </c>
      <c r="G48" s="111" t="s">
        <v>106</v>
      </c>
      <c r="I48" s="19" t="s">
        <v>267</v>
      </c>
    </row>
    <row r="49" spans="3:9" outlineLevel="1" x14ac:dyDescent="0.2">
      <c r="E49" s="90" t="s">
        <v>102</v>
      </c>
      <c r="G49" s="111" t="s">
        <v>102</v>
      </c>
      <c r="I49" s="19" t="s">
        <v>102</v>
      </c>
    </row>
    <row r="50" spans="3:9" outlineLevel="1" x14ac:dyDescent="0.2">
      <c r="E50" s="90" t="s">
        <v>233</v>
      </c>
      <c r="G50" s="111" t="s">
        <v>107</v>
      </c>
      <c r="I50" s="19" t="s">
        <v>268</v>
      </c>
    </row>
    <row r="51" spans="3:9" outlineLevel="1" x14ac:dyDescent="0.2">
      <c r="E51" s="90" t="s">
        <v>103</v>
      </c>
      <c r="G51" s="111" t="s">
        <v>108</v>
      </c>
      <c r="I51" s="19" t="s">
        <v>103</v>
      </c>
    </row>
    <row r="52" spans="3:9" outlineLevel="1" x14ac:dyDescent="0.2">
      <c r="I52" s="19"/>
    </row>
    <row r="53" spans="3:9" outlineLevel="1" x14ac:dyDescent="0.2">
      <c r="I53" s="19"/>
    </row>
    <row r="54" spans="3:9" ht="16.5" outlineLevel="1" x14ac:dyDescent="0.25">
      <c r="C54" s="63" t="s">
        <v>234</v>
      </c>
      <c r="I54" s="19"/>
    </row>
    <row r="55" spans="3:9" outlineLevel="1" x14ac:dyDescent="0.2">
      <c r="I55" s="19"/>
    </row>
    <row r="56" spans="3:9" outlineLevel="1" x14ac:dyDescent="0.2">
      <c r="E56" s="90" t="s">
        <v>224</v>
      </c>
      <c r="G56" s="111" t="s">
        <v>109</v>
      </c>
      <c r="I56" s="19" t="s">
        <v>269</v>
      </c>
    </row>
    <row r="57" spans="3:9" outlineLevel="1" x14ac:dyDescent="0.2">
      <c r="E57" s="90" t="s">
        <v>225</v>
      </c>
      <c r="G57" s="111" t="s">
        <v>110</v>
      </c>
      <c r="I57" s="19" t="s">
        <v>270</v>
      </c>
    </row>
    <row r="58" spans="3:9" outlineLevel="1" x14ac:dyDescent="0.2">
      <c r="E58" s="90" t="s">
        <v>226</v>
      </c>
      <c r="G58" s="111" t="s">
        <v>111</v>
      </c>
      <c r="I58" s="19" t="s">
        <v>271</v>
      </c>
    </row>
    <row r="59" spans="3:9" outlineLevel="1" x14ac:dyDescent="0.2"/>
    <row r="60" spans="3:9" outlineLevel="1" x14ac:dyDescent="0.2"/>
  </sheetData>
  <sheetProtection formatColumns="0" formatRows="0"/>
  <mergeCells count="3">
    <mergeCell ref="J1:K1"/>
    <mergeCell ref="G12:N12"/>
    <mergeCell ref="G13:N13"/>
  </mergeCells>
  <conditionalFormatting sqref="I4">
    <cfRule type="cellIs" dxfId="16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1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72" customWidth="1"/>
    <col min="5" max="5" width="27.85546875" style="72" bestFit="1" customWidth="1"/>
    <col min="6" max="6" width="1.7109375" style="16" customWidth="1"/>
    <col min="8" max="8" width="9.140625" style="60"/>
    <col min="9" max="9" width="9.140625" style="60" customWidth="1"/>
  </cols>
  <sheetData>
    <row r="1" spans="1:15" ht="20.25" x14ac:dyDescent="0.3">
      <c r="A1" s="46" t="str">
        <f ca="1">IFERROR(RIGHT(CELL("filename",A1),LEN(CELL("filename",A1))-FIND("]",CELL("filename",A1))),"")</f>
        <v>General Assumptions</v>
      </c>
      <c r="G1" s="60"/>
    </row>
    <row r="2" spans="1:15" ht="18" x14ac:dyDescent="0.25">
      <c r="A2" s="73" t="str">
        <f ca="1">Model_Name</f>
        <v>Chapter 10.06 - COGS.xlsm</v>
      </c>
      <c r="G2" s="60"/>
    </row>
    <row r="3" spans="1:15" x14ac:dyDescent="0.2">
      <c r="A3" s="141" t="s">
        <v>1</v>
      </c>
      <c r="B3" s="74"/>
      <c r="C3" s="74"/>
      <c r="D3" s="74"/>
      <c r="E3" s="74"/>
      <c r="G3" s="60"/>
    </row>
    <row r="4" spans="1:15" s="81" customFormat="1" ht="14.25" x14ac:dyDescent="0.2">
      <c r="A4" s="72" t="str">
        <f>Timing!A4</f>
        <v>Error Checks:</v>
      </c>
      <c r="C4" s="72"/>
      <c r="D4" s="74"/>
      <c r="E4" s="74"/>
      <c r="F4" s="16"/>
      <c r="G4" s="65">
        <f>Overall_Error_Check</f>
        <v>0</v>
      </c>
    </row>
    <row r="5" spans="1:15" s="81" customFormat="1" x14ac:dyDescent="0.2">
      <c r="A5" s="80"/>
      <c r="B5" s="74"/>
      <c r="C5" s="72"/>
      <c r="D5" s="74"/>
      <c r="E5" s="74"/>
      <c r="F5" s="16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0" customFormat="1" x14ac:dyDescent="0.2">
      <c r="A6" s="74"/>
      <c r="B6" s="74"/>
      <c r="C6" s="72" t="str">
        <f>Timing!C6</f>
        <v>Start Date</v>
      </c>
      <c r="D6" s="74"/>
      <c r="E6" s="74"/>
      <c r="F6" s="16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0" customFormat="1" x14ac:dyDescent="0.2">
      <c r="A7" s="74"/>
      <c r="B7" s="74"/>
      <c r="C7" s="72" t="str">
        <f>Timing!C7</f>
        <v>End Date</v>
      </c>
      <c r="D7" s="74"/>
      <c r="E7" s="74"/>
      <c r="F7" s="16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1" customFormat="1" x14ac:dyDescent="0.2">
      <c r="A8" s="74"/>
      <c r="B8" s="74"/>
      <c r="C8" s="72" t="str">
        <f>Timing!C8</f>
        <v>Number of Days</v>
      </c>
      <c r="D8" s="74"/>
      <c r="E8" s="74"/>
      <c r="F8" s="16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0" customFormat="1" x14ac:dyDescent="0.2">
      <c r="A9" s="74"/>
      <c r="B9" s="74"/>
      <c r="C9" s="72" t="str">
        <f>Timing!C9</f>
        <v>Counter</v>
      </c>
      <c r="D9" s="74"/>
      <c r="E9" s="74"/>
      <c r="F9" s="16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x14ac:dyDescent="0.2">
      <c r="F10" s="72"/>
      <c r="G10" s="59"/>
      <c r="J10" s="35"/>
      <c r="K10" s="35"/>
      <c r="L10" s="35"/>
      <c r="M10" s="35"/>
      <c r="N10" s="35"/>
    </row>
    <row r="11" spans="1:15" s="60" customFormat="1" ht="16.5" thickBot="1" x14ac:dyDescent="0.3">
      <c r="A11" s="72"/>
      <c r="B11" s="75">
        <f>MAX($B$10:$B10)+1</f>
        <v>1</v>
      </c>
      <c r="C11" s="76" t="str">
        <f ca="1">A1</f>
        <v>General Assumptions</v>
      </c>
      <c r="D11" s="76"/>
      <c r="E11" s="76"/>
      <c r="F11" s="76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 thickTop="1" x14ac:dyDescent="0.2">
      <c r="A12" s="72"/>
      <c r="B12" s="72"/>
      <c r="C12" s="72"/>
      <c r="D12" s="72"/>
      <c r="E12" s="72"/>
      <c r="F12" s="72"/>
      <c r="G12" s="59"/>
    </row>
    <row r="13" spans="1:15" ht="16.5" x14ac:dyDescent="0.25">
      <c r="C13" s="77" t="s">
        <v>235</v>
      </c>
      <c r="F13" s="72"/>
      <c r="G13" s="59"/>
      <c r="J13" s="60"/>
    </row>
    <row r="14" spans="1:15" x14ac:dyDescent="0.2">
      <c r="F14" s="72"/>
      <c r="G14" s="59"/>
      <c r="J14" s="60"/>
    </row>
    <row r="15" spans="1:15" ht="15" x14ac:dyDescent="0.25">
      <c r="D15" s="78" t="s">
        <v>112</v>
      </c>
      <c r="F15" s="64"/>
      <c r="J15" s="60"/>
    </row>
    <row r="16" spans="1:15" s="61" customFormat="1" ht="15" x14ac:dyDescent="0.25">
      <c r="A16" s="72"/>
      <c r="B16" s="72"/>
      <c r="C16" s="72"/>
      <c r="D16" s="78"/>
      <c r="E16" s="72"/>
      <c r="F16" s="64"/>
    </row>
    <row r="17" spans="1:14" x14ac:dyDescent="0.2">
      <c r="E17" s="72" t="s">
        <v>137</v>
      </c>
      <c r="G17" s="64" t="str">
        <f>Currency</f>
        <v>US$'000</v>
      </c>
      <c r="J17" s="85">
        <v>400</v>
      </c>
      <c r="K17" s="24"/>
      <c r="L17" s="24"/>
      <c r="M17" s="24"/>
      <c r="N17" s="24"/>
    </row>
    <row r="18" spans="1:14" x14ac:dyDescent="0.2">
      <c r="E18" s="72" t="s">
        <v>138</v>
      </c>
      <c r="G18" s="64" t="str">
        <f>Percentage</f>
        <v>%</v>
      </c>
      <c r="J18" s="24"/>
      <c r="K18" s="86">
        <v>0.12</v>
      </c>
      <c r="L18" s="86">
        <v>0.1</v>
      </c>
      <c r="M18" s="86">
        <v>0.08</v>
      </c>
      <c r="N18" s="86">
        <v>0.05</v>
      </c>
    </row>
    <row r="19" spans="1:14" x14ac:dyDescent="0.2">
      <c r="G19" s="64"/>
      <c r="J19" s="60"/>
    </row>
    <row r="20" spans="1:14" ht="15" x14ac:dyDescent="0.25">
      <c r="D20" s="78" t="s">
        <v>127</v>
      </c>
      <c r="G20" s="64"/>
      <c r="J20" s="60"/>
    </row>
    <row r="21" spans="1:14" s="61" customFormat="1" ht="15" x14ac:dyDescent="0.25">
      <c r="A21" s="72"/>
      <c r="B21" s="72"/>
      <c r="C21" s="72"/>
      <c r="D21" s="78"/>
      <c r="E21" s="72"/>
      <c r="G21" s="64"/>
    </row>
    <row r="22" spans="1:14" x14ac:dyDescent="0.2">
      <c r="E22" s="72" t="s">
        <v>236</v>
      </c>
      <c r="G22" s="64" t="str">
        <f>No_of_Days</f>
        <v># Days</v>
      </c>
      <c r="J22" s="85">
        <v>60</v>
      </c>
      <c r="K22" s="85">
        <v>60</v>
      </c>
      <c r="L22" s="85">
        <v>60</v>
      </c>
      <c r="M22" s="85">
        <v>60</v>
      </c>
      <c r="N22" s="85">
        <v>60</v>
      </c>
    </row>
    <row r="23" spans="1:14" x14ac:dyDescent="0.2">
      <c r="G23" s="64"/>
      <c r="J23" s="60"/>
    </row>
    <row r="24" spans="1:14" x14ac:dyDescent="0.2">
      <c r="G24" s="64"/>
      <c r="J24" s="60"/>
    </row>
    <row r="25" spans="1:14" ht="16.5" x14ac:dyDescent="0.25">
      <c r="C25" s="77" t="s">
        <v>144</v>
      </c>
      <c r="G25" s="64"/>
      <c r="J25" s="60"/>
    </row>
    <row r="26" spans="1:14" x14ac:dyDescent="0.2">
      <c r="G26" s="64"/>
      <c r="J26" s="60"/>
    </row>
    <row r="27" spans="1:14" ht="15" x14ac:dyDescent="0.25">
      <c r="D27" s="78" t="s">
        <v>113</v>
      </c>
      <c r="G27" s="64"/>
      <c r="J27" s="60"/>
    </row>
    <row r="28" spans="1:14" s="61" customFormat="1" ht="15" x14ac:dyDescent="0.25">
      <c r="A28" s="72"/>
      <c r="B28" s="72"/>
      <c r="C28" s="72"/>
      <c r="D28" s="78"/>
      <c r="E28" s="72"/>
      <c r="G28" s="64"/>
    </row>
    <row r="29" spans="1:14" x14ac:dyDescent="0.2">
      <c r="E29" s="72" t="s">
        <v>145</v>
      </c>
      <c r="G29" s="64" t="str">
        <f>Percentage</f>
        <v>%</v>
      </c>
      <c r="J29" s="86">
        <v>0.7</v>
      </c>
      <c r="K29" s="86">
        <v>0.7</v>
      </c>
      <c r="L29" s="86">
        <v>0.7</v>
      </c>
      <c r="M29" s="86">
        <v>0.7</v>
      </c>
      <c r="N29" s="86">
        <v>0.7</v>
      </c>
    </row>
    <row r="30" spans="1:14" x14ac:dyDescent="0.2">
      <c r="G30" s="64"/>
      <c r="J30" s="60"/>
    </row>
    <row r="31" spans="1:14" ht="15" x14ac:dyDescent="0.25">
      <c r="D31" s="78" t="str">
        <f>D20</f>
        <v>Working Capital</v>
      </c>
      <c r="E31" s="78"/>
      <c r="G31" s="64"/>
      <c r="J31" s="60"/>
    </row>
    <row r="32" spans="1:14" s="61" customFormat="1" ht="15" x14ac:dyDescent="0.25">
      <c r="A32" s="72"/>
      <c r="B32" s="72"/>
      <c r="C32" s="72"/>
      <c r="D32" s="78"/>
      <c r="E32" s="78"/>
      <c r="G32" s="64"/>
    </row>
    <row r="33" spans="1:14" x14ac:dyDescent="0.2">
      <c r="E33" s="72" t="s">
        <v>147</v>
      </c>
      <c r="G33" s="64" t="str">
        <f>No_of_Days</f>
        <v># Days</v>
      </c>
      <c r="J33" s="85">
        <v>90</v>
      </c>
      <c r="K33" s="85">
        <v>90</v>
      </c>
      <c r="L33" s="85">
        <v>90</v>
      </c>
      <c r="M33" s="85">
        <v>90</v>
      </c>
      <c r="N33" s="85">
        <v>90</v>
      </c>
    </row>
    <row r="34" spans="1:14" x14ac:dyDescent="0.2">
      <c r="G34" s="64"/>
      <c r="J34" s="60"/>
    </row>
    <row r="35" spans="1:14" x14ac:dyDescent="0.2">
      <c r="G35" s="64"/>
      <c r="J35" s="60"/>
    </row>
    <row r="36" spans="1:14" ht="16.5" x14ac:dyDescent="0.25">
      <c r="C36" s="77" t="s">
        <v>237</v>
      </c>
      <c r="G36" s="64"/>
      <c r="J36" s="60"/>
    </row>
    <row r="37" spans="1:14" x14ac:dyDescent="0.2">
      <c r="C37" s="72" t="s">
        <v>238</v>
      </c>
      <c r="G37" s="64"/>
      <c r="J37" s="60"/>
    </row>
    <row r="38" spans="1:14" x14ac:dyDescent="0.2">
      <c r="G38" s="64"/>
      <c r="J38" s="60"/>
    </row>
    <row r="39" spans="1:14" ht="15" x14ac:dyDescent="0.25">
      <c r="D39" s="78" t="s">
        <v>128</v>
      </c>
      <c r="G39" s="64"/>
      <c r="J39" s="60"/>
    </row>
    <row r="40" spans="1:14" s="61" customFormat="1" ht="15" x14ac:dyDescent="0.25">
      <c r="A40" s="72"/>
      <c r="B40" s="72"/>
      <c r="C40" s="72"/>
      <c r="D40" s="78"/>
      <c r="E40" s="72"/>
      <c r="G40" s="64"/>
    </row>
    <row r="41" spans="1:14" x14ac:dyDescent="0.2">
      <c r="E41" s="72" t="s">
        <v>239</v>
      </c>
      <c r="G41" s="64" t="s">
        <v>102</v>
      </c>
      <c r="I41" s="87">
        <v>45107</v>
      </c>
      <c r="J41" s="60"/>
    </row>
    <row r="42" spans="1:14" x14ac:dyDescent="0.2">
      <c r="E42" s="72" t="s">
        <v>114</v>
      </c>
      <c r="G42" s="64" t="str">
        <f>Currency</f>
        <v>US$'000</v>
      </c>
      <c r="J42" s="85">
        <v>60</v>
      </c>
      <c r="K42" s="85">
        <v>65</v>
      </c>
      <c r="L42" s="85">
        <v>70</v>
      </c>
      <c r="M42" s="85">
        <v>75</v>
      </c>
      <c r="N42" s="85">
        <v>80</v>
      </c>
    </row>
    <row r="43" spans="1:14" x14ac:dyDescent="0.2">
      <c r="E43" s="72" t="s">
        <v>240</v>
      </c>
      <c r="G43" s="64" t="str">
        <f>Percentage</f>
        <v>%</v>
      </c>
      <c r="J43" s="24"/>
      <c r="K43" s="86">
        <v>0.05</v>
      </c>
      <c r="L43" s="86">
        <v>0.04</v>
      </c>
      <c r="M43" s="86">
        <v>0.03</v>
      </c>
      <c r="N43" s="86">
        <v>0.02</v>
      </c>
    </row>
    <row r="44" spans="1:14" x14ac:dyDescent="0.2">
      <c r="G44" s="64"/>
      <c r="J44" s="60"/>
    </row>
    <row r="45" spans="1:14" s="81" customFormat="1" x14ac:dyDescent="0.2">
      <c r="A45" s="72"/>
      <c r="B45" s="72"/>
      <c r="C45" s="72"/>
      <c r="D45" s="72"/>
      <c r="E45" s="72"/>
      <c r="F45" s="16"/>
      <c r="G45" s="64"/>
    </row>
    <row r="46" spans="1:14" ht="16.5" x14ac:dyDescent="0.25">
      <c r="C46" s="77" t="s">
        <v>241</v>
      </c>
      <c r="G46" s="64"/>
      <c r="J46" s="60"/>
    </row>
    <row r="47" spans="1:14" x14ac:dyDescent="0.2">
      <c r="G47" s="64"/>
      <c r="J47" s="60"/>
    </row>
    <row r="48" spans="1:14" ht="15" x14ac:dyDescent="0.25">
      <c r="D48" s="78" t="s">
        <v>161</v>
      </c>
      <c r="E48" s="78"/>
      <c r="G48" s="64"/>
      <c r="J48" s="60"/>
    </row>
    <row r="49" spans="1:14" s="61" customFormat="1" ht="15" x14ac:dyDescent="0.25">
      <c r="A49" s="72"/>
      <c r="B49" s="72"/>
      <c r="C49" s="72"/>
      <c r="D49" s="78"/>
      <c r="E49" s="78"/>
      <c r="G49" s="64"/>
    </row>
    <row r="50" spans="1:14" x14ac:dyDescent="0.2">
      <c r="E50" s="72" t="s">
        <v>161</v>
      </c>
      <c r="G50" s="64" t="str">
        <f>Currency</f>
        <v>US$'000</v>
      </c>
      <c r="J50" s="49">
        <v>150</v>
      </c>
      <c r="K50" s="49">
        <v>180</v>
      </c>
      <c r="L50" s="49">
        <v>120</v>
      </c>
      <c r="M50" s="49">
        <v>90</v>
      </c>
      <c r="N50" s="49">
        <v>100</v>
      </c>
    </row>
    <row r="51" spans="1:14" x14ac:dyDescent="0.2">
      <c r="G51" s="64"/>
      <c r="J51" s="60"/>
    </row>
    <row r="52" spans="1:14" ht="15" x14ac:dyDescent="0.25">
      <c r="D52" s="78" t="s">
        <v>152</v>
      </c>
      <c r="G52" s="64"/>
      <c r="J52" s="60"/>
    </row>
    <row r="53" spans="1:14" s="61" customFormat="1" ht="15" x14ac:dyDescent="0.25">
      <c r="A53" s="72"/>
      <c r="B53" s="72"/>
      <c r="C53" s="72"/>
      <c r="D53" s="78"/>
      <c r="E53" s="72"/>
      <c r="G53" s="64"/>
    </row>
    <row r="54" spans="1:14" x14ac:dyDescent="0.2">
      <c r="E54" s="72" t="s">
        <v>227</v>
      </c>
      <c r="G54" s="64" t="str">
        <f>No_of_Years</f>
        <v># Year(s)</v>
      </c>
      <c r="I54" s="67">
        <v>5</v>
      </c>
      <c r="J54" s="60"/>
      <c r="K54" s="68"/>
    </row>
    <row r="55" spans="1:14" x14ac:dyDescent="0.2">
      <c r="E55" s="72" t="s">
        <v>151</v>
      </c>
      <c r="G55" s="64" t="str">
        <f>Percentage</f>
        <v>%</v>
      </c>
      <c r="I55" s="37">
        <f>IF(I54&lt;=0,0,1/I54)</f>
        <v>0.2</v>
      </c>
      <c r="J55" s="60"/>
    </row>
    <row r="56" spans="1:14" x14ac:dyDescent="0.2">
      <c r="G56" s="64"/>
      <c r="J56" s="60"/>
    </row>
    <row r="57" spans="1:14" s="60" customFormat="1" x14ac:dyDescent="0.2">
      <c r="A57" s="72"/>
      <c r="B57" s="72"/>
      <c r="C57" s="72"/>
      <c r="E57" s="72" t="s">
        <v>228</v>
      </c>
      <c r="G57" s="64" t="str">
        <f>No_of_Years</f>
        <v># Year(s)</v>
      </c>
      <c r="I57" s="67">
        <v>4</v>
      </c>
    </row>
    <row r="58" spans="1:14" s="60" customFormat="1" x14ac:dyDescent="0.2">
      <c r="A58" s="72"/>
      <c r="B58" s="72"/>
      <c r="C58" s="72"/>
      <c r="E58" s="72" t="str">
        <f>E55</f>
        <v>Annual Rate</v>
      </c>
      <c r="G58" s="64" t="str">
        <f>Percentage</f>
        <v>%</v>
      </c>
      <c r="I58" s="37">
        <f>IF(I57&lt;=0,0,1/I57)</f>
        <v>0.25</v>
      </c>
    </row>
    <row r="59" spans="1:14" s="60" customFormat="1" x14ac:dyDescent="0.2">
      <c r="A59" s="72"/>
      <c r="B59" s="72"/>
      <c r="C59" s="72"/>
      <c r="D59" s="72"/>
      <c r="E59" s="72"/>
      <c r="G59" s="64"/>
    </row>
    <row r="60" spans="1:14" x14ac:dyDescent="0.2">
      <c r="G60" s="64"/>
      <c r="J60" s="60"/>
    </row>
    <row r="61" spans="1:14" ht="16.5" x14ac:dyDescent="0.25">
      <c r="C61" s="77" t="s">
        <v>153</v>
      </c>
      <c r="G61" s="64"/>
      <c r="J61" s="60"/>
    </row>
    <row r="62" spans="1:14" x14ac:dyDescent="0.2">
      <c r="C62" s="72" t="s">
        <v>242</v>
      </c>
      <c r="G62" s="64"/>
      <c r="J62" s="60"/>
    </row>
    <row r="63" spans="1:14" x14ac:dyDescent="0.2">
      <c r="C63" s="72" t="s">
        <v>243</v>
      </c>
      <c r="G63" s="64"/>
      <c r="J63" s="60"/>
    </row>
    <row r="64" spans="1:14" x14ac:dyDescent="0.2">
      <c r="G64" s="64"/>
      <c r="J64" s="60"/>
    </row>
    <row r="65" spans="1:14" ht="15" x14ac:dyDescent="0.25">
      <c r="D65" s="78" t="s">
        <v>115</v>
      </c>
      <c r="G65" s="64"/>
      <c r="J65" s="60"/>
    </row>
    <row r="66" spans="1:14" s="61" customFormat="1" ht="15" x14ac:dyDescent="0.25">
      <c r="A66" s="72"/>
      <c r="B66" s="72"/>
      <c r="C66" s="72"/>
      <c r="D66" s="78"/>
      <c r="E66" s="72"/>
      <c r="G66" s="64"/>
    </row>
    <row r="67" spans="1:14" x14ac:dyDescent="0.2">
      <c r="E67" s="72" t="s">
        <v>154</v>
      </c>
      <c r="G67" s="64" t="str">
        <f>Currency</f>
        <v>US$'000</v>
      </c>
      <c r="J67" s="85">
        <v>20</v>
      </c>
      <c r="K67" s="85">
        <v>20</v>
      </c>
      <c r="L67" s="85">
        <v>0</v>
      </c>
      <c r="M67" s="85">
        <v>0</v>
      </c>
      <c r="N67" s="85">
        <v>0</v>
      </c>
    </row>
    <row r="68" spans="1:14" x14ac:dyDescent="0.2">
      <c r="E68" s="72" t="s">
        <v>155</v>
      </c>
      <c r="G68" s="64" t="str">
        <f>Currency</f>
        <v>US$'000</v>
      </c>
      <c r="J68" s="85">
        <v>0</v>
      </c>
      <c r="K68" s="85">
        <v>0</v>
      </c>
      <c r="L68" s="85">
        <v>15</v>
      </c>
      <c r="M68" s="85">
        <v>25</v>
      </c>
      <c r="N68" s="85">
        <v>10</v>
      </c>
    </row>
    <row r="69" spans="1:14" x14ac:dyDescent="0.2">
      <c r="G69" s="64"/>
      <c r="J69" s="60"/>
    </row>
    <row r="70" spans="1:14" ht="15" x14ac:dyDescent="0.25">
      <c r="D70" s="78" t="s">
        <v>116</v>
      </c>
      <c r="G70" s="64"/>
      <c r="J70" s="60"/>
    </row>
    <row r="71" spans="1:14" s="61" customFormat="1" ht="15" x14ac:dyDescent="0.25">
      <c r="A71" s="72"/>
      <c r="B71" s="72"/>
      <c r="C71" s="72"/>
      <c r="D71" s="78"/>
      <c r="E71" s="72"/>
      <c r="G71" s="64"/>
    </row>
    <row r="72" spans="1:14" x14ac:dyDescent="0.2">
      <c r="E72" s="72" t="s">
        <v>156</v>
      </c>
      <c r="G72" s="64" t="str">
        <f>Percentage</f>
        <v>%</v>
      </c>
      <c r="J72" s="86">
        <v>0.06</v>
      </c>
      <c r="K72" s="86">
        <v>6.5000000000000002E-2</v>
      </c>
      <c r="L72" s="86">
        <v>7.0000000000000007E-2</v>
      </c>
      <c r="M72" s="86">
        <v>7.4999999999999997E-2</v>
      </c>
      <c r="N72" s="86">
        <v>0.08</v>
      </c>
    </row>
    <row r="73" spans="1:14" x14ac:dyDescent="0.2">
      <c r="G73" s="64"/>
      <c r="J73" s="60"/>
    </row>
    <row r="74" spans="1:14" ht="15" x14ac:dyDescent="0.25">
      <c r="D74" s="78" t="s">
        <v>272</v>
      </c>
      <c r="G74" s="64" t="str">
        <f>Percentage</f>
        <v>%</v>
      </c>
      <c r="J74" s="60"/>
    </row>
    <row r="75" spans="1:14" s="61" customFormat="1" ht="15" x14ac:dyDescent="0.25">
      <c r="A75" s="72"/>
      <c r="B75" s="72"/>
      <c r="C75" s="72"/>
      <c r="D75" s="78"/>
      <c r="E75" s="72"/>
      <c r="G75" s="64"/>
    </row>
    <row r="76" spans="1:14" x14ac:dyDescent="0.2">
      <c r="E76" s="72" t="s">
        <v>133</v>
      </c>
      <c r="G76" s="64" t="str">
        <f>Percentage</f>
        <v>%</v>
      </c>
      <c r="J76" s="86">
        <v>0.01</v>
      </c>
      <c r="K76" s="86">
        <v>0.01</v>
      </c>
      <c r="L76" s="86">
        <v>0.01</v>
      </c>
      <c r="M76" s="86">
        <v>0.01</v>
      </c>
      <c r="N76" s="86">
        <v>0.01</v>
      </c>
    </row>
    <row r="77" spans="1:14" x14ac:dyDescent="0.2">
      <c r="G77" s="64"/>
      <c r="J77" s="60"/>
    </row>
    <row r="78" spans="1:14" x14ac:dyDescent="0.2">
      <c r="E78" s="72" t="s">
        <v>244</v>
      </c>
      <c r="G78" s="64" t="str">
        <f>Percentage</f>
        <v>%</v>
      </c>
      <c r="I78" s="86">
        <v>0.5</v>
      </c>
      <c r="J78" s="60"/>
    </row>
    <row r="79" spans="1:14" x14ac:dyDescent="0.2">
      <c r="G79" s="64"/>
      <c r="J79" s="60"/>
    </row>
    <row r="80" spans="1:14" s="81" customFormat="1" x14ac:dyDescent="0.2">
      <c r="A80" s="72"/>
      <c r="B80" s="72"/>
      <c r="C80" s="72"/>
      <c r="D80" s="72"/>
      <c r="E80" s="72"/>
      <c r="F80" s="16"/>
      <c r="G80" s="64"/>
    </row>
    <row r="81" spans="1:14" ht="16.5" x14ac:dyDescent="0.25">
      <c r="C81" s="77" t="s">
        <v>117</v>
      </c>
      <c r="G81" s="64"/>
      <c r="J81" s="60"/>
    </row>
    <row r="82" spans="1:14" x14ac:dyDescent="0.2">
      <c r="G82" s="64"/>
      <c r="J82" s="60"/>
    </row>
    <row r="83" spans="1:14" ht="15" x14ac:dyDescent="0.25">
      <c r="D83" s="78" t="s">
        <v>134</v>
      </c>
      <c r="G83" s="64"/>
      <c r="J83" s="60"/>
    </row>
    <row r="84" spans="1:14" s="61" customFormat="1" ht="15" x14ac:dyDescent="0.25">
      <c r="A84" s="72"/>
      <c r="B84" s="72"/>
      <c r="C84" s="72"/>
      <c r="D84" s="78"/>
      <c r="E84" s="72"/>
      <c r="G84" s="64"/>
    </row>
    <row r="85" spans="1:14" x14ac:dyDescent="0.2">
      <c r="E85" s="72" t="str">
        <f>D83</f>
        <v>Tax Rate</v>
      </c>
      <c r="G85" s="64" t="str">
        <f>Percentage</f>
        <v>%</v>
      </c>
      <c r="I85" s="86">
        <v>0.3</v>
      </c>
      <c r="J85" s="60"/>
    </row>
    <row r="86" spans="1:14" x14ac:dyDescent="0.2">
      <c r="G86" s="64"/>
      <c r="J86" s="60"/>
    </row>
    <row r="87" spans="1:14" ht="15" x14ac:dyDescent="0.25">
      <c r="D87" s="78" t="s">
        <v>157</v>
      </c>
      <c r="G87" s="64"/>
      <c r="J87" s="60"/>
    </row>
    <row r="88" spans="1:14" s="61" customFormat="1" ht="15" x14ac:dyDescent="0.25">
      <c r="A88" s="72"/>
      <c r="B88" s="72"/>
      <c r="C88" s="72"/>
      <c r="D88" s="78"/>
      <c r="E88" s="72"/>
      <c r="G88" s="64"/>
    </row>
    <row r="89" spans="1:14" x14ac:dyDescent="0.2">
      <c r="E89" s="72" t="s">
        <v>158</v>
      </c>
      <c r="G89" s="64" t="str">
        <f>Currency</f>
        <v>US$'000</v>
      </c>
      <c r="J89" s="85">
        <v>25</v>
      </c>
      <c r="K89" s="85">
        <v>25</v>
      </c>
      <c r="L89" s="85">
        <v>25</v>
      </c>
      <c r="M89" s="85">
        <v>25</v>
      </c>
      <c r="N89" s="85">
        <v>25</v>
      </c>
    </row>
    <row r="90" spans="1:14" x14ac:dyDescent="0.2">
      <c r="E90" s="72" t="s">
        <v>159</v>
      </c>
      <c r="G90" s="64" t="str">
        <f>Currency</f>
        <v>US$'000</v>
      </c>
      <c r="J90" s="85">
        <v>40</v>
      </c>
      <c r="K90" s="85">
        <v>16</v>
      </c>
      <c r="L90" s="85">
        <v>25</v>
      </c>
      <c r="M90" s="85">
        <v>30</v>
      </c>
      <c r="N90" s="85">
        <v>50</v>
      </c>
    </row>
    <row r="91" spans="1:14" x14ac:dyDescent="0.2">
      <c r="G91" s="64"/>
      <c r="J91" s="60"/>
    </row>
    <row r="92" spans="1:14" ht="15" x14ac:dyDescent="0.25">
      <c r="D92" s="78" t="s">
        <v>160</v>
      </c>
      <c r="G92" s="64"/>
      <c r="J92" s="60"/>
    </row>
    <row r="93" spans="1:14" s="61" customFormat="1" ht="15" x14ac:dyDescent="0.25">
      <c r="A93" s="72"/>
      <c r="B93" s="72"/>
      <c r="C93" s="72"/>
      <c r="D93" s="78"/>
      <c r="E93" s="72"/>
      <c r="G93" s="64"/>
    </row>
    <row r="94" spans="1:14" x14ac:dyDescent="0.2">
      <c r="E94" s="72" t="s">
        <v>245</v>
      </c>
      <c r="G94" s="64" t="str">
        <f>Multiplier</f>
        <v>x</v>
      </c>
      <c r="I94" s="88">
        <v>2</v>
      </c>
      <c r="J94" s="60"/>
    </row>
    <row r="95" spans="1:14" x14ac:dyDescent="0.2">
      <c r="G95" s="64"/>
      <c r="J95" s="60"/>
    </row>
    <row r="96" spans="1:14" x14ac:dyDescent="0.2">
      <c r="E96" s="72" t="s">
        <v>162</v>
      </c>
      <c r="G96" s="64" t="str">
        <f>No_of_Years</f>
        <v># Year(s)</v>
      </c>
      <c r="I96" s="67">
        <v>5</v>
      </c>
      <c r="J96" s="60"/>
    </row>
    <row r="97" spans="1:10" x14ac:dyDescent="0.2">
      <c r="E97" s="72" t="str">
        <f>E55</f>
        <v>Annual Rate</v>
      </c>
      <c r="G97" s="64" t="str">
        <f>Percentage</f>
        <v>%</v>
      </c>
      <c r="I97" s="37">
        <f>IF(I96&lt;=0,0,I94/I96)</f>
        <v>0.4</v>
      </c>
      <c r="J97" s="60"/>
    </row>
    <row r="98" spans="1:10" x14ac:dyDescent="0.2">
      <c r="G98" s="64"/>
      <c r="J98" s="60"/>
    </row>
    <row r="99" spans="1:10" x14ac:dyDescent="0.2">
      <c r="E99" s="72" t="s">
        <v>163</v>
      </c>
      <c r="G99" s="64" t="str">
        <f>No_of_Years</f>
        <v># Year(s)</v>
      </c>
      <c r="I99" s="67">
        <v>4</v>
      </c>
      <c r="J99" s="60"/>
    </row>
    <row r="100" spans="1:10" x14ac:dyDescent="0.2">
      <c r="E100" s="72" t="str">
        <f>E58</f>
        <v>Annual Rate</v>
      </c>
      <c r="G100" s="64" t="str">
        <f>Percentage</f>
        <v>%</v>
      </c>
      <c r="I100" s="37">
        <f>IF(I99&lt;=0,0,I94/I99)</f>
        <v>0.5</v>
      </c>
      <c r="J100" s="60"/>
    </row>
    <row r="101" spans="1:10" x14ac:dyDescent="0.2">
      <c r="G101" s="64"/>
      <c r="J101" s="60"/>
    </row>
    <row r="102" spans="1:10" ht="15" x14ac:dyDescent="0.25">
      <c r="D102" s="78" t="s">
        <v>118</v>
      </c>
      <c r="G102" s="64"/>
      <c r="J102" s="60"/>
    </row>
    <row r="103" spans="1:10" s="61" customFormat="1" x14ac:dyDescent="0.2">
      <c r="A103" s="72"/>
      <c r="B103" s="72"/>
      <c r="C103" s="72"/>
      <c r="D103" s="72" t="s">
        <v>246</v>
      </c>
      <c r="E103" s="72"/>
      <c r="G103" s="64"/>
    </row>
    <row r="104" spans="1:10" x14ac:dyDescent="0.2">
      <c r="G104" s="64"/>
      <c r="J104" s="60"/>
    </row>
    <row r="105" spans="1:10" x14ac:dyDescent="0.2">
      <c r="E105" s="72" t="str">
        <f>D102</f>
        <v>DTA</v>
      </c>
      <c r="G105" s="64" t="str">
        <f>Currency</f>
        <v>US$'000</v>
      </c>
      <c r="I105" s="119">
        <f>'Opening Balance Sheet'!I21</f>
        <v>0</v>
      </c>
      <c r="J105" s="60"/>
    </row>
    <row r="106" spans="1:10" x14ac:dyDescent="0.2">
      <c r="G106" s="64"/>
      <c r="J106" s="60"/>
    </row>
    <row r="107" spans="1:10" ht="15" x14ac:dyDescent="0.25">
      <c r="D107" s="78" t="s">
        <v>119</v>
      </c>
      <c r="G107" s="64"/>
      <c r="J107" s="60"/>
    </row>
    <row r="108" spans="1:10" s="61" customFormat="1" x14ac:dyDescent="0.2">
      <c r="A108" s="72"/>
      <c r="B108" s="72"/>
      <c r="C108" s="72"/>
      <c r="D108" s="72" t="s">
        <v>247</v>
      </c>
      <c r="E108" s="72"/>
      <c r="G108" s="64"/>
    </row>
    <row r="109" spans="1:10" x14ac:dyDescent="0.2">
      <c r="G109" s="64"/>
      <c r="J109" s="60"/>
    </row>
    <row r="110" spans="1:10" x14ac:dyDescent="0.2">
      <c r="E110" s="72" t="str">
        <f>D107</f>
        <v>DTL</v>
      </c>
      <c r="G110" s="64" t="str">
        <f>Currency</f>
        <v>US$'000</v>
      </c>
      <c r="I110" s="119">
        <f>'Opening Balance Sheet'!I36</f>
        <v>0</v>
      </c>
      <c r="J110" s="60"/>
    </row>
    <row r="111" spans="1:10" x14ac:dyDescent="0.2">
      <c r="G111" s="64"/>
      <c r="J111" s="60"/>
    </row>
    <row r="112" spans="1:10" ht="15" x14ac:dyDescent="0.25">
      <c r="D112" s="78" t="s">
        <v>164</v>
      </c>
      <c r="G112" s="64"/>
      <c r="J112" s="60"/>
    </row>
    <row r="113" spans="1:14" s="61" customFormat="1" ht="15" x14ac:dyDescent="0.25">
      <c r="A113" s="72"/>
      <c r="B113" s="72"/>
      <c r="C113" s="72"/>
      <c r="D113" s="78"/>
      <c r="E113" s="72"/>
      <c r="G113" s="64"/>
    </row>
    <row r="114" spans="1:14" x14ac:dyDescent="0.2">
      <c r="E114" s="72" t="s">
        <v>165</v>
      </c>
      <c r="G114" s="64" t="str">
        <f>No_of_Years</f>
        <v># Year(s)</v>
      </c>
      <c r="I114" s="67">
        <v>1</v>
      </c>
      <c r="J114" s="60"/>
    </row>
    <row r="115" spans="1:14" x14ac:dyDescent="0.2">
      <c r="G115" s="64"/>
      <c r="J115" s="60"/>
    </row>
    <row r="116" spans="1:14" s="81" customFormat="1" x14ac:dyDescent="0.2">
      <c r="A116" s="72"/>
      <c r="B116" s="72"/>
      <c r="C116" s="72"/>
      <c r="D116" s="72"/>
      <c r="E116" s="72"/>
      <c r="F116" s="16"/>
      <c r="G116" s="64"/>
    </row>
    <row r="117" spans="1:14" ht="16.5" x14ac:dyDescent="0.25">
      <c r="C117" s="77" t="s">
        <v>248</v>
      </c>
      <c r="G117" s="64"/>
      <c r="J117" s="60"/>
    </row>
    <row r="118" spans="1:14" x14ac:dyDescent="0.2">
      <c r="G118" s="64"/>
      <c r="J118" s="60"/>
    </row>
    <row r="119" spans="1:14" ht="15" x14ac:dyDescent="0.25">
      <c r="D119" s="78" t="s">
        <v>167</v>
      </c>
      <c r="G119" s="64"/>
      <c r="J119" s="60"/>
    </row>
    <row r="120" spans="1:14" s="61" customFormat="1" ht="15" x14ac:dyDescent="0.25">
      <c r="A120" s="72"/>
      <c r="B120" s="72"/>
      <c r="C120" s="72"/>
      <c r="D120" s="78"/>
      <c r="E120" s="72"/>
      <c r="G120" s="64"/>
    </row>
    <row r="121" spans="1:14" x14ac:dyDescent="0.2">
      <c r="E121" s="72" t="s">
        <v>168</v>
      </c>
      <c r="G121" s="64" t="str">
        <f>Currency</f>
        <v>US$'000</v>
      </c>
      <c r="J121" s="85">
        <v>15</v>
      </c>
      <c r="K121" s="85">
        <v>25</v>
      </c>
      <c r="L121" s="85">
        <v>0</v>
      </c>
      <c r="M121" s="85">
        <v>10</v>
      </c>
      <c r="N121" s="85">
        <v>0</v>
      </c>
    </row>
    <row r="122" spans="1:14" x14ac:dyDescent="0.2">
      <c r="E122" s="72" t="s">
        <v>169</v>
      </c>
      <c r="G122" s="64" t="str">
        <f>Currency</f>
        <v>US$'000</v>
      </c>
      <c r="J122" s="85">
        <v>0</v>
      </c>
      <c r="K122" s="85">
        <v>0</v>
      </c>
      <c r="L122" s="85">
        <v>5</v>
      </c>
      <c r="M122" s="85">
        <v>5</v>
      </c>
      <c r="N122" s="85">
        <v>20</v>
      </c>
    </row>
    <row r="123" spans="1:14" x14ac:dyDescent="0.2">
      <c r="G123" s="64"/>
      <c r="J123" s="60"/>
    </row>
    <row r="124" spans="1:14" ht="15" x14ac:dyDescent="0.25">
      <c r="D124" s="78" t="s">
        <v>120</v>
      </c>
      <c r="G124" s="64"/>
      <c r="J124" s="60"/>
    </row>
    <row r="125" spans="1:14" s="61" customFormat="1" x14ac:dyDescent="0.2">
      <c r="A125" s="72"/>
      <c r="B125" s="72"/>
      <c r="C125" s="72"/>
      <c r="D125" s="72" t="s">
        <v>275</v>
      </c>
      <c r="E125" s="72"/>
      <c r="G125" s="64"/>
    </row>
    <row r="126" spans="1:14" x14ac:dyDescent="0.2">
      <c r="G126" s="64"/>
      <c r="J126" s="60"/>
    </row>
    <row r="127" spans="1:14" x14ac:dyDescent="0.2">
      <c r="E127" s="72" t="s">
        <v>249</v>
      </c>
      <c r="G127" s="64" t="str">
        <f>Percentage</f>
        <v>%</v>
      </c>
      <c r="J127" s="86">
        <v>0.25</v>
      </c>
      <c r="K127" s="86">
        <v>0.3</v>
      </c>
      <c r="L127" s="86">
        <v>0.35</v>
      </c>
      <c r="M127" s="86">
        <v>0.4</v>
      </c>
      <c r="N127" s="86">
        <v>0.45</v>
      </c>
    </row>
    <row r="128" spans="1:14" x14ac:dyDescent="0.2">
      <c r="F128" s="64"/>
      <c r="J128" s="60"/>
    </row>
  </sheetData>
  <conditionalFormatting sqref="G4">
    <cfRule type="cellIs" dxfId="15" priority="3" operator="notEqual">
      <formula>0</formula>
    </cfRule>
  </conditionalFormatting>
  <conditionalFormatting sqref="J42:N42">
    <cfRule type="expression" dxfId="14" priority="2">
      <formula>$I$41&lt;=J$7</formula>
    </cfRule>
  </conditionalFormatting>
  <conditionalFormatting sqref="K43:N43">
    <cfRule type="expression" dxfId="13" priority="1">
      <formula>$I$41&gt;K$7</formula>
    </cfRule>
  </conditionalFormatting>
  <dataValidations count="1">
    <dataValidation type="list" allowBlank="1" showInputMessage="1" showErrorMessage="1" sqref="I41" xr:uid="{00000000-0002-0000-0400-000000000000}">
      <formula1>LU_Future_Years</formula1>
    </dataValidation>
  </dataValidations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G4" location="Overall_Error_Check" tooltip="Go to Overall Error Check" display="Overall_Error_Check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P62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89" customWidth="1"/>
    <col min="5" max="5" width="32.85546875" style="89" customWidth="1"/>
    <col min="6" max="6" width="1.7109375" style="89" customWidth="1"/>
    <col min="7" max="8" width="9.140625" style="90"/>
    <col min="9" max="9" width="9.140625" style="90" customWidth="1"/>
    <col min="10" max="14" width="9.140625" style="90"/>
    <col min="15" max="15" width="5.140625" style="90" customWidth="1"/>
    <col min="16" max="16" width="24.140625" style="90" customWidth="1"/>
    <col min="17" max="16384" width="9.140625" style="90"/>
  </cols>
  <sheetData>
    <row r="1" spans="1:15" ht="20.25" x14ac:dyDescent="0.3">
      <c r="A1" s="46" t="str">
        <f ca="1">IFERROR(RIGHT(CELL("filename",A1),LEN(CELL("filename",A1))-FIND("]",CELL("filename",A1))),"")</f>
        <v>Calculations</v>
      </c>
    </row>
    <row r="2" spans="1:15" ht="18" x14ac:dyDescent="0.25">
      <c r="A2" s="47" t="str">
        <f ca="1">Model_Name</f>
        <v>Chapter 10.06 - COGS.xlsm</v>
      </c>
    </row>
    <row r="3" spans="1:15" x14ac:dyDescent="0.2">
      <c r="A3" s="141" t="s">
        <v>1</v>
      </c>
      <c r="B3" s="92"/>
      <c r="C3" s="92"/>
      <c r="D3" s="92"/>
      <c r="E3" s="92"/>
    </row>
    <row r="4" spans="1:15" x14ac:dyDescent="0.2">
      <c r="A4" s="89" t="str">
        <f>Timing!A4</f>
        <v>Error Checks:</v>
      </c>
      <c r="B4" s="92"/>
      <c r="C4" s="92"/>
      <c r="D4" s="92"/>
      <c r="E4" s="92"/>
      <c r="G4" s="94">
        <f>Overall_Error_Check</f>
        <v>0</v>
      </c>
    </row>
    <row r="5" spans="1:15" x14ac:dyDescent="0.2">
      <c r="A5" s="80"/>
      <c r="B5" s="92"/>
      <c r="C5" s="92"/>
      <c r="D5" s="92"/>
      <c r="E5" s="92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92"/>
      <c r="B6" s="92"/>
      <c r="C6" s="89" t="str">
        <f>Timing!C6</f>
        <v>Start Date</v>
      </c>
      <c r="D6" s="92"/>
      <c r="E6" s="92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92"/>
      <c r="B7" s="92"/>
      <c r="C7" s="89" t="str">
        <f>Timing!C7</f>
        <v>End Date</v>
      </c>
      <c r="D7" s="92"/>
      <c r="E7" s="92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92"/>
      <c r="B8" s="92"/>
      <c r="C8" s="89" t="str">
        <f>Timing!C8</f>
        <v>Number of Days</v>
      </c>
      <c r="D8" s="92"/>
      <c r="E8" s="92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92"/>
      <c r="B9" s="92"/>
      <c r="C9" s="89" t="str">
        <f>Timing!C9</f>
        <v>Counter</v>
      </c>
      <c r="D9" s="92"/>
      <c r="E9" s="92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MAX($B$10:$B10)+1</f>
        <v>1</v>
      </c>
      <c r="C11" s="3" t="str">
        <f ca="1">A1</f>
        <v>Calculations</v>
      </c>
      <c r="D11" s="95"/>
      <c r="E11" s="95"/>
      <c r="F11" s="95"/>
      <c r="G11" s="96"/>
      <c r="H11" s="96"/>
      <c r="I11" s="96"/>
      <c r="J11" s="96"/>
      <c r="K11" s="96"/>
      <c r="L11" s="96"/>
      <c r="M11" s="96"/>
      <c r="N11" s="96"/>
      <c r="O11" s="96"/>
    </row>
    <row r="12" spans="1:15" ht="12.75" thickTop="1" x14ac:dyDescent="0.2">
      <c r="G12" s="97"/>
    </row>
    <row r="13" spans="1:15" ht="16.5" x14ac:dyDescent="0.25">
      <c r="C13" s="77" t="s">
        <v>125</v>
      </c>
      <c r="G13" s="97"/>
    </row>
    <row r="14" spans="1:15" x14ac:dyDescent="0.2">
      <c r="C14" s="98"/>
    </row>
    <row r="15" spans="1:15" ht="15" x14ac:dyDescent="0.25">
      <c r="C15" s="98"/>
      <c r="D15" s="78" t="s">
        <v>112</v>
      </c>
      <c r="O15" s="100"/>
    </row>
    <row r="16" spans="1:15" x14ac:dyDescent="0.2">
      <c r="C16" s="98"/>
      <c r="D16" s="99"/>
      <c r="O16" s="100"/>
    </row>
    <row r="17" spans="3:15" x14ac:dyDescent="0.2">
      <c r="C17" s="98"/>
      <c r="D17" s="90"/>
      <c r="E17" s="89" t="s">
        <v>137</v>
      </c>
      <c r="G17" s="101" t="str">
        <f>Currency</f>
        <v>US$'000</v>
      </c>
      <c r="J17" s="119">
        <f>'General Assumptions'!J17</f>
        <v>400</v>
      </c>
      <c r="K17" s="24"/>
      <c r="L17" s="24"/>
      <c r="M17" s="24"/>
      <c r="N17" s="24"/>
      <c r="O17" s="100"/>
    </row>
    <row r="18" spans="3:15" x14ac:dyDescent="0.2">
      <c r="C18" s="98"/>
      <c r="D18" s="90"/>
      <c r="E18" s="89" t="s">
        <v>138</v>
      </c>
      <c r="G18" s="101" t="str">
        <f>Percentage</f>
        <v>%</v>
      </c>
      <c r="J18" s="24"/>
      <c r="K18" s="70">
        <f>'General Assumptions'!K18</f>
        <v>0.12</v>
      </c>
      <c r="L18" s="70">
        <f>'General Assumptions'!L18</f>
        <v>0.1</v>
      </c>
      <c r="M18" s="70">
        <f>'General Assumptions'!M18</f>
        <v>0.08</v>
      </c>
      <c r="N18" s="70">
        <f>'General Assumptions'!N18</f>
        <v>0.05</v>
      </c>
      <c r="O18" s="100"/>
    </row>
    <row r="19" spans="3:15" x14ac:dyDescent="0.2">
      <c r="C19" s="98"/>
      <c r="D19" s="90"/>
      <c r="E19" s="79" t="s">
        <v>112</v>
      </c>
      <c r="G19" s="101" t="str">
        <f>Currency</f>
        <v>US$'000</v>
      </c>
      <c r="J19" s="120">
        <f>IF(J$9=1,$J17,I19*(1+J18))</f>
        <v>400</v>
      </c>
      <c r="K19" s="120">
        <f t="shared" ref="K19:N19" si="0">IF(K$9=1,$J17,J19*(1+K18))</f>
        <v>448.00000000000006</v>
      </c>
      <c r="L19" s="120">
        <f t="shared" si="0"/>
        <v>492.80000000000013</v>
      </c>
      <c r="M19" s="120">
        <f t="shared" si="0"/>
        <v>532.22400000000016</v>
      </c>
      <c r="N19" s="120">
        <f t="shared" si="0"/>
        <v>558.83520000000021</v>
      </c>
      <c r="O19" s="100"/>
    </row>
    <row r="20" spans="3:15" x14ac:dyDescent="0.2">
      <c r="C20" s="98"/>
      <c r="O20" s="100"/>
    </row>
    <row r="21" spans="3:15" ht="15" x14ac:dyDescent="0.25">
      <c r="C21" s="98"/>
      <c r="D21" s="78" t="s">
        <v>127</v>
      </c>
      <c r="O21" s="100"/>
    </row>
    <row r="22" spans="3:15" x14ac:dyDescent="0.2">
      <c r="C22" s="98"/>
      <c r="D22" s="99"/>
      <c r="O22" s="100"/>
    </row>
    <row r="23" spans="3:15" x14ac:dyDescent="0.2">
      <c r="C23" s="98"/>
      <c r="D23" s="90"/>
      <c r="E23" s="89" t="s">
        <v>139</v>
      </c>
      <c r="G23" s="101" t="str">
        <f>No_of_Days</f>
        <v># Days</v>
      </c>
      <c r="J23" s="119">
        <f>'General Assumptions'!J22</f>
        <v>60</v>
      </c>
      <c r="K23" s="119">
        <v>60</v>
      </c>
      <c r="L23" s="119">
        <v>60</v>
      </c>
      <c r="M23" s="119">
        <v>60</v>
      </c>
      <c r="N23" s="119">
        <v>60</v>
      </c>
      <c r="O23" s="100"/>
    </row>
    <row r="24" spans="3:15" x14ac:dyDescent="0.2">
      <c r="C24" s="98"/>
      <c r="D24" s="90"/>
      <c r="J24" s="93"/>
      <c r="K24" s="93"/>
      <c r="L24" s="93"/>
      <c r="M24" s="93"/>
      <c r="N24" s="93"/>
      <c r="O24" s="100"/>
    </row>
    <row r="25" spans="3:15" x14ac:dyDescent="0.2">
      <c r="C25" s="98"/>
      <c r="D25" s="90"/>
      <c r="E25" s="89" t="s">
        <v>140</v>
      </c>
      <c r="G25" s="101" t="str">
        <f>No_of_Days</f>
        <v># Days</v>
      </c>
      <c r="J25" s="118">
        <f>J$8</f>
        <v>365</v>
      </c>
      <c r="K25" s="118">
        <f t="shared" ref="K25:N25" si="1">K$8</f>
        <v>365</v>
      </c>
      <c r="L25" s="118">
        <f t="shared" si="1"/>
        <v>365</v>
      </c>
      <c r="M25" s="118">
        <f t="shared" si="1"/>
        <v>366</v>
      </c>
      <c r="N25" s="118">
        <f t="shared" si="1"/>
        <v>365</v>
      </c>
      <c r="O25" s="100"/>
    </row>
    <row r="26" spans="3:15" x14ac:dyDescent="0.2">
      <c r="C26" s="98"/>
      <c r="D26" s="90"/>
      <c r="J26" s="118"/>
      <c r="K26" s="118"/>
      <c r="L26" s="118"/>
      <c r="M26" s="118"/>
      <c r="N26" s="118"/>
      <c r="O26" s="100"/>
    </row>
    <row r="27" spans="3:15" x14ac:dyDescent="0.2">
      <c r="C27" s="98"/>
      <c r="D27" s="90"/>
      <c r="E27" s="89" t="s">
        <v>141</v>
      </c>
      <c r="G27" s="101" t="str">
        <f>Currency</f>
        <v>US$'000</v>
      </c>
      <c r="J27" s="118">
        <f>J23/J25*J19</f>
        <v>65.753424657534239</v>
      </c>
      <c r="K27" s="118">
        <f>K23/K25*K19</f>
        <v>73.643835616438366</v>
      </c>
      <c r="L27" s="118">
        <f>L23/L25*L19</f>
        <v>81.008219178082214</v>
      </c>
      <c r="M27" s="118">
        <f>M23/M25*M19</f>
        <v>87.249836065573788</v>
      </c>
      <c r="N27" s="118">
        <f>N23/N25*N19</f>
        <v>91.863320547945236</v>
      </c>
      <c r="O27" s="100"/>
    </row>
    <row r="28" spans="3:15" x14ac:dyDescent="0.2">
      <c r="C28" s="98"/>
      <c r="J28" s="93"/>
      <c r="K28" s="93"/>
      <c r="L28" s="93"/>
      <c r="M28" s="93"/>
      <c r="N28" s="93"/>
      <c r="O28" s="100"/>
    </row>
    <row r="29" spans="3:15" ht="15" x14ac:dyDescent="0.25">
      <c r="C29" s="98"/>
      <c r="D29" s="78" t="s">
        <v>132</v>
      </c>
      <c r="J29" s="93"/>
      <c r="K29" s="93"/>
      <c r="L29" s="93"/>
      <c r="M29" s="93"/>
      <c r="N29" s="93"/>
      <c r="O29" s="100"/>
    </row>
    <row r="30" spans="3:15" x14ac:dyDescent="0.2">
      <c r="C30" s="98"/>
      <c r="D30" s="99"/>
      <c r="J30" s="93"/>
      <c r="K30" s="93"/>
      <c r="L30" s="93"/>
      <c r="M30" s="93"/>
      <c r="N30" s="93"/>
      <c r="O30" s="100"/>
    </row>
    <row r="31" spans="3:15" x14ac:dyDescent="0.2">
      <c r="C31" s="98"/>
      <c r="D31" s="90"/>
      <c r="E31" s="89" t="s">
        <v>142</v>
      </c>
      <c r="G31" s="101" t="str">
        <f>Currency</f>
        <v>US$'000</v>
      </c>
      <c r="I31" s="118"/>
      <c r="J31" s="118">
        <f>I34</f>
        <v>0</v>
      </c>
      <c r="K31" s="118">
        <f t="shared" ref="K31:N31" si="2">J34</f>
        <v>65.753424657534239</v>
      </c>
      <c r="L31" s="118">
        <f t="shared" si="2"/>
        <v>73.643835616438366</v>
      </c>
      <c r="M31" s="118">
        <f t="shared" si="2"/>
        <v>81.008219178082214</v>
      </c>
      <c r="N31" s="118">
        <f t="shared" si="2"/>
        <v>87.249836065573788</v>
      </c>
      <c r="O31" s="103" t="str">
        <f>Balance_Sheet</f>
        <v>BS</v>
      </c>
    </row>
    <row r="32" spans="3:15" x14ac:dyDescent="0.2">
      <c r="C32" s="98"/>
      <c r="D32" s="90"/>
      <c r="E32" s="89" t="s">
        <v>126</v>
      </c>
      <c r="G32" s="101" t="str">
        <f>Currency</f>
        <v>US$'000</v>
      </c>
      <c r="I32" s="118"/>
      <c r="J32" s="118">
        <f>J19</f>
        <v>400</v>
      </c>
      <c r="K32" s="118">
        <f t="shared" ref="K32:N32" si="3">K19</f>
        <v>448.00000000000006</v>
      </c>
      <c r="L32" s="118">
        <f t="shared" si="3"/>
        <v>492.80000000000013</v>
      </c>
      <c r="M32" s="118">
        <f t="shared" si="3"/>
        <v>532.22400000000016</v>
      </c>
      <c r="N32" s="118">
        <f t="shared" si="3"/>
        <v>558.83520000000021</v>
      </c>
      <c r="O32" s="103" t="str">
        <f>Income_Statement</f>
        <v>IS</v>
      </c>
    </row>
    <row r="33" spans="3:16" x14ac:dyDescent="0.2">
      <c r="C33" s="98"/>
      <c r="D33" s="90"/>
      <c r="E33" s="89" t="s">
        <v>143</v>
      </c>
      <c r="G33" s="101" t="str">
        <f>Currency</f>
        <v>US$'000</v>
      </c>
      <c r="I33" s="118"/>
      <c r="J33" s="118">
        <f>J34-SUM(J31:J32)</f>
        <v>-334.24657534246575</v>
      </c>
      <c r="K33" s="118">
        <f t="shared" ref="K33:N33" si="4">K34-SUM(K31:K32)</f>
        <v>-440.10958904109594</v>
      </c>
      <c r="L33" s="118">
        <f t="shared" si="4"/>
        <v>-485.43561643835631</v>
      </c>
      <c r="M33" s="118">
        <f t="shared" si="4"/>
        <v>-525.98238311250861</v>
      </c>
      <c r="N33" s="118">
        <f t="shared" si="4"/>
        <v>-554.22171551762881</v>
      </c>
      <c r="O33" s="103" t="str">
        <f>Cash_Flow_Statement</f>
        <v>CFS</v>
      </c>
    </row>
    <row r="34" spans="3:16" x14ac:dyDescent="0.2">
      <c r="C34" s="98"/>
      <c r="D34" s="90"/>
      <c r="E34" s="89" t="s">
        <v>141</v>
      </c>
      <c r="G34" s="101" t="str">
        <f>Currency</f>
        <v>US$'000</v>
      </c>
      <c r="I34" s="119">
        <f>'Opening Balance Sheet'!$I$15</f>
        <v>0</v>
      </c>
      <c r="J34" s="121">
        <f>J27</f>
        <v>65.753424657534239</v>
      </c>
      <c r="K34" s="121">
        <f t="shared" ref="K34:N34" si="5">K27</f>
        <v>73.643835616438366</v>
      </c>
      <c r="L34" s="121">
        <f t="shared" si="5"/>
        <v>81.008219178082214</v>
      </c>
      <c r="M34" s="121">
        <f t="shared" si="5"/>
        <v>87.249836065573788</v>
      </c>
      <c r="N34" s="121">
        <f t="shared" si="5"/>
        <v>91.863320547945236</v>
      </c>
      <c r="O34" s="103" t="str">
        <f>Balance_Sheet</f>
        <v>BS</v>
      </c>
    </row>
    <row r="35" spans="3:16" x14ac:dyDescent="0.2">
      <c r="C35" s="98"/>
      <c r="O35" s="100"/>
    </row>
    <row r="36" spans="3:16" x14ac:dyDescent="0.2">
      <c r="C36" s="98"/>
      <c r="O36" s="100"/>
    </row>
    <row r="37" spans="3:16" ht="16.5" x14ac:dyDescent="0.25">
      <c r="C37" s="77" t="s">
        <v>144</v>
      </c>
      <c r="O37" s="100"/>
    </row>
    <row r="38" spans="3:16" x14ac:dyDescent="0.2">
      <c r="C38" s="98"/>
      <c r="O38" s="100"/>
    </row>
    <row r="39" spans="3:16" ht="15" x14ac:dyDescent="0.25">
      <c r="C39" s="98"/>
      <c r="D39" s="78" t="s">
        <v>113</v>
      </c>
      <c r="I39" s="104"/>
      <c r="O39" s="100"/>
    </row>
    <row r="40" spans="3:16" x14ac:dyDescent="0.2">
      <c r="C40" s="98"/>
      <c r="D40" s="99"/>
      <c r="I40" s="104"/>
      <c r="O40" s="100"/>
    </row>
    <row r="41" spans="3:16" x14ac:dyDescent="0.2">
      <c r="C41" s="98"/>
      <c r="D41" s="90"/>
      <c r="E41" s="89" t="s">
        <v>112</v>
      </c>
      <c r="G41" s="101" t="str">
        <f>Currency</f>
        <v>US$'000</v>
      </c>
      <c r="J41" s="118">
        <f>J19</f>
        <v>400</v>
      </c>
      <c r="K41" s="118">
        <f t="shared" ref="K41:N41" si="6">K19</f>
        <v>448.00000000000006</v>
      </c>
      <c r="L41" s="118">
        <f t="shared" si="6"/>
        <v>492.80000000000013</v>
      </c>
      <c r="M41" s="118">
        <f t="shared" si="6"/>
        <v>532.22400000000016</v>
      </c>
      <c r="N41" s="118">
        <f t="shared" si="6"/>
        <v>558.83520000000021</v>
      </c>
      <c r="O41" s="100"/>
      <c r="P41" s="139" t="str">
        <f ca="1">_xlfn.FORMULATEXT(J41)</f>
        <v>=J19</v>
      </c>
    </row>
    <row r="42" spans="3:16" x14ac:dyDescent="0.2">
      <c r="C42" s="98"/>
      <c r="D42" s="90"/>
      <c r="E42" s="89" t="s">
        <v>145</v>
      </c>
      <c r="G42" s="101" t="str">
        <f>Percentage</f>
        <v>%</v>
      </c>
      <c r="J42" s="70">
        <f>'General Assumptions'!J29</f>
        <v>0.7</v>
      </c>
      <c r="K42" s="70">
        <f>'General Assumptions'!K29</f>
        <v>0.7</v>
      </c>
      <c r="L42" s="70">
        <f>'General Assumptions'!L29</f>
        <v>0.7</v>
      </c>
      <c r="M42" s="70">
        <f>'General Assumptions'!M29</f>
        <v>0.7</v>
      </c>
      <c r="N42" s="70">
        <f>'General Assumptions'!N29</f>
        <v>0.7</v>
      </c>
      <c r="O42" s="100"/>
      <c r="P42" s="139" t="str">
        <f t="shared" ref="P42:P60" ca="1" si="7">_xlfn.FORMULATEXT(J42)</f>
        <v>='General Assumptions'!J29</v>
      </c>
    </row>
    <row r="43" spans="3:16" x14ac:dyDescent="0.2">
      <c r="C43" s="98"/>
      <c r="D43" s="90"/>
      <c r="E43" s="89" t="s">
        <v>146</v>
      </c>
      <c r="G43" s="101" t="str">
        <f>Currency</f>
        <v>US$'000</v>
      </c>
      <c r="J43" s="118">
        <f>J41*J42</f>
        <v>280</v>
      </c>
      <c r="K43" s="118">
        <f t="shared" ref="K43:N43" si="8">K41*K42</f>
        <v>313.60000000000002</v>
      </c>
      <c r="L43" s="118">
        <f t="shared" si="8"/>
        <v>344.96000000000009</v>
      </c>
      <c r="M43" s="118">
        <f t="shared" si="8"/>
        <v>372.55680000000007</v>
      </c>
      <c r="N43" s="118">
        <f t="shared" si="8"/>
        <v>391.18464000000012</v>
      </c>
      <c r="O43" s="100"/>
      <c r="P43" s="139" t="str">
        <f t="shared" ca="1" si="7"/>
        <v>=J41*J42</v>
      </c>
    </row>
    <row r="44" spans="3:16" x14ac:dyDescent="0.2">
      <c r="C44" s="98"/>
      <c r="D44" s="90"/>
      <c r="J44" s="118"/>
      <c r="K44" s="118"/>
      <c r="L44" s="118"/>
      <c r="M44" s="118"/>
      <c r="N44" s="118"/>
      <c r="O44" s="100"/>
      <c r="P44" s="139"/>
    </row>
    <row r="45" spans="3:16" x14ac:dyDescent="0.2">
      <c r="C45" s="98"/>
      <c r="D45" s="90"/>
      <c r="E45" s="79" t="s">
        <v>113</v>
      </c>
      <c r="G45" s="101" t="str">
        <f>Currency</f>
        <v>US$'000</v>
      </c>
      <c r="J45" s="120">
        <f>J41-J43</f>
        <v>120</v>
      </c>
      <c r="K45" s="120">
        <f t="shared" ref="K45:N45" si="9">K41-K43</f>
        <v>134.40000000000003</v>
      </c>
      <c r="L45" s="120">
        <f t="shared" si="9"/>
        <v>147.84000000000003</v>
      </c>
      <c r="M45" s="120">
        <f t="shared" si="9"/>
        <v>159.66720000000009</v>
      </c>
      <c r="N45" s="120">
        <f t="shared" si="9"/>
        <v>167.6505600000001</v>
      </c>
      <c r="O45" s="100"/>
      <c r="P45" s="139" t="str">
        <f t="shared" ca="1" si="7"/>
        <v>=J41-J43</v>
      </c>
    </row>
    <row r="46" spans="3:16" x14ac:dyDescent="0.2">
      <c r="C46" s="98"/>
      <c r="O46" s="100"/>
      <c r="P46" s="139"/>
    </row>
    <row r="47" spans="3:16" ht="15" x14ac:dyDescent="0.25">
      <c r="C47" s="98"/>
      <c r="D47" s="78" t="s">
        <v>127</v>
      </c>
      <c r="O47" s="100"/>
      <c r="P47" s="139"/>
    </row>
    <row r="48" spans="3:16" x14ac:dyDescent="0.2">
      <c r="C48" s="98"/>
      <c r="D48" s="99"/>
      <c r="O48" s="100"/>
      <c r="P48" s="139"/>
    </row>
    <row r="49" spans="3:16" x14ac:dyDescent="0.2">
      <c r="C49" s="98"/>
      <c r="D49" s="90"/>
      <c r="E49" s="89" t="s">
        <v>147</v>
      </c>
      <c r="G49" s="101" t="str">
        <f>No_of_Days</f>
        <v># Days</v>
      </c>
      <c r="J49" s="102">
        <f>'General Assumptions'!J33</f>
        <v>90</v>
      </c>
      <c r="K49" s="102">
        <f>'General Assumptions'!K33</f>
        <v>90</v>
      </c>
      <c r="L49" s="102">
        <f>'General Assumptions'!L33</f>
        <v>90</v>
      </c>
      <c r="M49" s="102">
        <f>'General Assumptions'!M33</f>
        <v>90</v>
      </c>
      <c r="N49" s="102">
        <f>'General Assumptions'!N33</f>
        <v>90</v>
      </c>
      <c r="O49" s="100"/>
      <c r="P49" s="139" t="str">
        <f t="shared" ca="1" si="7"/>
        <v>='General Assumptions'!J33</v>
      </c>
    </row>
    <row r="50" spans="3:16" x14ac:dyDescent="0.2">
      <c r="C50" s="98"/>
      <c r="D50" s="90"/>
      <c r="O50" s="100"/>
      <c r="P50" s="139"/>
    </row>
    <row r="51" spans="3:16" x14ac:dyDescent="0.2">
      <c r="C51" s="98"/>
      <c r="D51" s="90"/>
      <c r="E51" s="89" t="s">
        <v>140</v>
      </c>
      <c r="G51" s="101" t="str">
        <f>No_of_Days</f>
        <v># Days</v>
      </c>
      <c r="J51" s="118">
        <f>J$8</f>
        <v>365</v>
      </c>
      <c r="K51" s="118">
        <f t="shared" ref="K51:N51" si="10">K$8</f>
        <v>365</v>
      </c>
      <c r="L51" s="118">
        <f t="shared" si="10"/>
        <v>365</v>
      </c>
      <c r="M51" s="118">
        <f t="shared" si="10"/>
        <v>366</v>
      </c>
      <c r="N51" s="118">
        <f t="shared" si="10"/>
        <v>365</v>
      </c>
      <c r="O51" s="100"/>
      <c r="P51" s="139" t="str">
        <f t="shared" ca="1" si="7"/>
        <v>=J$8</v>
      </c>
    </row>
    <row r="52" spans="3:16" x14ac:dyDescent="0.2">
      <c r="C52" s="98"/>
      <c r="D52" s="90"/>
      <c r="G52" s="101"/>
      <c r="J52" s="118"/>
      <c r="K52" s="118"/>
      <c r="L52" s="118"/>
      <c r="M52" s="118"/>
      <c r="N52" s="118"/>
      <c r="O52" s="100"/>
      <c r="P52" s="139"/>
    </row>
    <row r="53" spans="3:16" x14ac:dyDescent="0.2">
      <c r="C53" s="98"/>
      <c r="D53" s="90"/>
      <c r="E53" s="89" t="s">
        <v>148</v>
      </c>
      <c r="G53" s="101" t="str">
        <f>Currency</f>
        <v>US$'000</v>
      </c>
      <c r="J53" s="118">
        <f>J49/J51*J45</f>
        <v>29.589041095890408</v>
      </c>
      <c r="K53" s="118">
        <f>K49/K51*K45</f>
        <v>33.139726027397266</v>
      </c>
      <c r="L53" s="118">
        <f>L49/L51*L45</f>
        <v>36.453698630136991</v>
      </c>
      <c r="M53" s="118">
        <f>M49/M51*M45</f>
        <v>39.262426229508222</v>
      </c>
      <c r="N53" s="118">
        <f>N49/N51*N45</f>
        <v>41.338494246575365</v>
      </c>
      <c r="O53" s="100"/>
      <c r="P53" s="139" t="str">
        <f t="shared" ca="1" si="7"/>
        <v>=J49/J51*J45</v>
      </c>
    </row>
    <row r="54" spans="3:16" x14ac:dyDescent="0.2">
      <c r="C54" s="98"/>
      <c r="J54" s="93"/>
      <c r="K54" s="93"/>
      <c r="L54" s="93"/>
      <c r="M54" s="93"/>
      <c r="N54" s="93"/>
      <c r="O54" s="100"/>
      <c r="P54" s="139"/>
    </row>
    <row r="55" spans="3:16" ht="15" x14ac:dyDescent="0.25">
      <c r="C55" s="98"/>
      <c r="D55" s="78" t="str">
        <f>D29</f>
        <v>Control Account</v>
      </c>
      <c r="J55" s="93"/>
      <c r="K55" s="93"/>
      <c r="L55" s="93"/>
      <c r="M55" s="93"/>
      <c r="N55" s="93"/>
      <c r="O55" s="100"/>
      <c r="P55" s="139"/>
    </row>
    <row r="56" spans="3:16" x14ac:dyDescent="0.2">
      <c r="C56" s="98"/>
      <c r="D56" s="99"/>
      <c r="J56" s="93"/>
      <c r="K56" s="93"/>
      <c r="L56" s="93"/>
      <c r="M56" s="93"/>
      <c r="N56" s="93"/>
      <c r="O56" s="100"/>
      <c r="P56" s="139"/>
    </row>
    <row r="57" spans="3:16" x14ac:dyDescent="0.2">
      <c r="C57" s="98"/>
      <c r="D57" s="90"/>
      <c r="E57" s="89" t="s">
        <v>149</v>
      </c>
      <c r="G57" s="101" t="str">
        <f>Currency</f>
        <v>US$'000</v>
      </c>
      <c r="J57" s="118">
        <f>I60</f>
        <v>0</v>
      </c>
      <c r="K57" s="118">
        <f t="shared" ref="K57" si="11">J60</f>
        <v>29.589041095890408</v>
      </c>
      <c r="L57" s="118">
        <f t="shared" ref="L57" si="12">K60</f>
        <v>33.139726027397266</v>
      </c>
      <c r="M57" s="118">
        <f t="shared" ref="M57" si="13">L60</f>
        <v>36.453698630136991</v>
      </c>
      <c r="N57" s="118">
        <f t="shared" ref="N57" si="14">M60</f>
        <v>39.262426229508222</v>
      </c>
      <c r="O57" s="103" t="str">
        <f>Balance_Sheet</f>
        <v>BS</v>
      </c>
      <c r="P57" s="139" t="str">
        <f t="shared" ca="1" si="7"/>
        <v>=I60</v>
      </c>
    </row>
    <row r="58" spans="3:16" x14ac:dyDescent="0.2">
      <c r="C58" s="98"/>
      <c r="D58" s="90"/>
      <c r="E58" s="89" t="s">
        <v>113</v>
      </c>
      <c r="G58" s="101" t="str">
        <f>Currency</f>
        <v>US$'000</v>
      </c>
      <c r="J58" s="118">
        <f>J45</f>
        <v>120</v>
      </c>
      <c r="K58" s="118">
        <f t="shared" ref="K58:N58" si="15">K45</f>
        <v>134.40000000000003</v>
      </c>
      <c r="L58" s="118">
        <f t="shared" si="15"/>
        <v>147.84000000000003</v>
      </c>
      <c r="M58" s="118">
        <f t="shared" si="15"/>
        <v>159.66720000000009</v>
      </c>
      <c r="N58" s="118">
        <f t="shared" si="15"/>
        <v>167.6505600000001</v>
      </c>
      <c r="O58" s="103" t="str">
        <f>Income_Statement</f>
        <v>IS</v>
      </c>
      <c r="P58" s="139" t="str">
        <f t="shared" ca="1" si="7"/>
        <v>=J45</v>
      </c>
    </row>
    <row r="59" spans="3:16" x14ac:dyDescent="0.2">
      <c r="C59" s="98"/>
      <c r="D59" s="90"/>
      <c r="E59" s="89" t="s">
        <v>150</v>
      </c>
      <c r="G59" s="101" t="str">
        <f>Currency</f>
        <v>US$'000</v>
      </c>
      <c r="J59" s="118">
        <f>J60-SUM(J57:J58)</f>
        <v>-90.410958904109592</v>
      </c>
      <c r="K59" s="118">
        <f t="shared" ref="K59:N59" si="16">K60-SUM(K57:K58)</f>
        <v>-130.84931506849318</v>
      </c>
      <c r="L59" s="118">
        <f t="shared" si="16"/>
        <v>-144.52602739726032</v>
      </c>
      <c r="M59" s="118">
        <f t="shared" si="16"/>
        <v>-156.85847240062884</v>
      </c>
      <c r="N59" s="118">
        <f t="shared" si="16"/>
        <v>-165.57449198293295</v>
      </c>
      <c r="O59" s="103" t="str">
        <f>Cash_Flow_Statement</f>
        <v>CFS</v>
      </c>
      <c r="P59" s="139" t="str">
        <f t="shared" ca="1" si="7"/>
        <v>=J60-SUM(J57:J58)</v>
      </c>
    </row>
    <row r="60" spans="3:16" x14ac:dyDescent="0.2">
      <c r="C60" s="98"/>
      <c r="D60" s="90"/>
      <c r="E60" s="89" t="s">
        <v>148</v>
      </c>
      <c r="G60" s="101" t="str">
        <f>Currency</f>
        <v>US$'000</v>
      </c>
      <c r="I60" s="69">
        <f>'Opening Balance Sheet'!I27</f>
        <v>0</v>
      </c>
      <c r="J60" s="121">
        <f>J53</f>
        <v>29.589041095890408</v>
      </c>
      <c r="K60" s="121">
        <f t="shared" ref="K60:N60" si="17">K53</f>
        <v>33.139726027397266</v>
      </c>
      <c r="L60" s="121">
        <f t="shared" si="17"/>
        <v>36.453698630136991</v>
      </c>
      <c r="M60" s="121">
        <f t="shared" si="17"/>
        <v>39.262426229508222</v>
      </c>
      <c r="N60" s="121">
        <f t="shared" si="17"/>
        <v>41.338494246575365</v>
      </c>
      <c r="O60" s="103" t="str">
        <f>Balance_Sheet</f>
        <v>BS</v>
      </c>
      <c r="P60" s="139" t="str">
        <f t="shared" ca="1" si="7"/>
        <v>=J53</v>
      </c>
    </row>
    <row r="61" spans="3:16" x14ac:dyDescent="0.2">
      <c r="C61" s="98"/>
      <c r="O61" s="100"/>
    </row>
    <row r="62" spans="3:16" x14ac:dyDescent="0.2">
      <c r="C62" s="98"/>
      <c r="O62" s="100"/>
    </row>
  </sheetData>
  <conditionalFormatting sqref="G4">
    <cfRule type="cellIs" dxfId="12" priority="8" operator="notEqual">
      <formula>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G4" location="Overall_Error_Check" tooltip="Go to Overall Error Check" display="Overall_Error_Check" xr:uid="{00000000-0004-0000-0500-000002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K57"/>
  <sheetViews>
    <sheetView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4" width="3.7109375" style="89" customWidth="1"/>
    <col min="5" max="5" width="19.140625" style="89" customWidth="1"/>
    <col min="6" max="6" width="5.7109375" style="89" customWidth="1"/>
    <col min="7" max="7" width="9.140625" style="90"/>
    <col min="8" max="8" width="9.140625" style="90" customWidth="1"/>
    <col min="9" max="16384" width="9.140625" style="90"/>
  </cols>
  <sheetData>
    <row r="1" spans="1:11" ht="20.25" x14ac:dyDescent="0.3">
      <c r="A1" s="46" t="str">
        <f ca="1">IFERROR(RIGHT(CELL("filename",A1),LEN(CELL("filename",A1))-FIND("]",CELL("filename",A1))),"")</f>
        <v>Opening Balance Sheet</v>
      </c>
      <c r="H1" s="148"/>
      <c r="I1" s="148"/>
    </row>
    <row r="2" spans="1:11" ht="18" x14ac:dyDescent="0.25">
      <c r="A2" s="47" t="str">
        <f ca="1">Model_Name</f>
        <v>Chapter 10.06 - COGS.xlsm</v>
      </c>
    </row>
    <row r="3" spans="1:11" x14ac:dyDescent="0.2">
      <c r="A3" s="141" t="s">
        <v>1</v>
      </c>
      <c r="B3" s="92"/>
      <c r="C3" s="92"/>
      <c r="D3" s="92"/>
      <c r="E3" s="92"/>
      <c r="I3" s="101"/>
    </row>
    <row r="4" spans="1:11" x14ac:dyDescent="0.2">
      <c r="A4" s="89" t="s">
        <v>2</v>
      </c>
      <c r="G4" s="106">
        <f>Overall_Error_Check</f>
        <v>0</v>
      </c>
      <c r="I4" s="122">
        <f>Model_Start_Date-1</f>
        <v>44012</v>
      </c>
      <c r="J4" s="101"/>
    </row>
    <row r="6" spans="1:11" outlineLevel="1" x14ac:dyDescent="0.2"/>
    <row r="7" spans="1:11" outlineLevel="1" x14ac:dyDescent="0.2"/>
    <row r="8" spans="1:11" outlineLevel="1" x14ac:dyDescent="0.2"/>
    <row r="9" spans="1:11" outlineLevel="1" x14ac:dyDescent="0.2"/>
    <row r="10" spans="1:11" outlineLevel="1" x14ac:dyDescent="0.2"/>
    <row r="11" spans="1:11" ht="16.5" thickBot="1" x14ac:dyDescent="0.3">
      <c r="B11" s="48">
        <f>MAX($B5:$B$5)+1</f>
        <v>1</v>
      </c>
      <c r="C11" s="3" t="str">
        <f ca="1">A1</f>
        <v>Opening Balance Sheet</v>
      </c>
      <c r="D11" s="3"/>
      <c r="E11" s="3"/>
      <c r="F11" s="3"/>
      <c r="G11" s="3"/>
      <c r="H11" s="3"/>
      <c r="I11" s="3"/>
      <c r="J11" s="3"/>
    </row>
    <row r="12" spans="1:11" ht="12.75" thickTop="1" x14ac:dyDescent="0.2">
      <c r="C12" s="99"/>
      <c r="D12" s="79"/>
    </row>
    <row r="13" spans="1:11" x14ac:dyDescent="0.2">
      <c r="C13" s="99" t="s">
        <v>174</v>
      </c>
    </row>
    <row r="14" spans="1:11" x14ac:dyDescent="0.2">
      <c r="C14" s="99"/>
      <c r="D14" s="89" t="s">
        <v>175</v>
      </c>
      <c r="G14" s="101" t="str">
        <f>Currency</f>
        <v>US$'000</v>
      </c>
      <c r="I14" s="107"/>
      <c r="K14" s="107">
        <v>250</v>
      </c>
    </row>
    <row r="15" spans="1:11" x14ac:dyDescent="0.2">
      <c r="C15" s="99"/>
      <c r="D15" s="89" t="s">
        <v>176</v>
      </c>
      <c r="G15" s="101" t="str">
        <f>Currency</f>
        <v>US$'000</v>
      </c>
      <c r="I15" s="107"/>
      <c r="K15" s="107">
        <v>50</v>
      </c>
    </row>
    <row r="16" spans="1:11" x14ac:dyDescent="0.2">
      <c r="C16" s="99"/>
      <c r="D16" s="89" t="s">
        <v>172</v>
      </c>
      <c r="G16" s="101" t="str">
        <f>Currency</f>
        <v>US$'000</v>
      </c>
      <c r="I16" s="107"/>
      <c r="K16" s="107">
        <v>10</v>
      </c>
    </row>
    <row r="17" spans="3:11" x14ac:dyDescent="0.2">
      <c r="C17" s="99"/>
      <c r="D17" s="79" t="s">
        <v>177</v>
      </c>
      <c r="G17" s="101" t="str">
        <f>Currency</f>
        <v>US$'000</v>
      </c>
      <c r="I17" s="71"/>
      <c r="K17" s="71">
        <f>SUM(K14:K16)</f>
        <v>310</v>
      </c>
    </row>
    <row r="18" spans="3:11" x14ac:dyDescent="0.2">
      <c r="C18" s="99"/>
      <c r="D18" s="79"/>
    </row>
    <row r="19" spans="3:11" x14ac:dyDescent="0.2">
      <c r="C19" s="99" t="s">
        <v>178</v>
      </c>
    </row>
    <row r="20" spans="3:11" x14ac:dyDescent="0.2">
      <c r="C20" s="99"/>
      <c r="D20" s="89" t="s">
        <v>179</v>
      </c>
      <c r="G20" s="101" t="str">
        <f>Currency</f>
        <v>US$'000</v>
      </c>
      <c r="I20" s="107"/>
      <c r="K20" s="107">
        <v>450</v>
      </c>
    </row>
    <row r="21" spans="3:11" x14ac:dyDescent="0.2">
      <c r="C21" s="99"/>
      <c r="D21" s="89" t="s">
        <v>180</v>
      </c>
      <c r="G21" s="101" t="str">
        <f>Currency</f>
        <v>US$'000</v>
      </c>
      <c r="I21" s="107"/>
      <c r="K21" s="107">
        <v>75</v>
      </c>
    </row>
    <row r="22" spans="3:11" x14ac:dyDescent="0.2">
      <c r="C22" s="99"/>
      <c r="D22" s="89" t="s">
        <v>181</v>
      </c>
      <c r="G22" s="101" t="str">
        <f>Currency</f>
        <v>US$'000</v>
      </c>
      <c r="I22" s="71"/>
      <c r="K22" s="71">
        <f>SUM(K20:K21)</f>
        <v>525</v>
      </c>
    </row>
    <row r="23" spans="3:11" x14ac:dyDescent="0.2">
      <c r="C23" s="99"/>
    </row>
    <row r="24" spans="3:11" x14ac:dyDescent="0.2">
      <c r="C24" s="99" t="s">
        <v>182</v>
      </c>
      <c r="G24" s="101" t="str">
        <f>Currency</f>
        <v>US$'000</v>
      </c>
      <c r="I24" s="71"/>
      <c r="K24" s="71">
        <f>K17+K22</f>
        <v>835</v>
      </c>
    </row>
    <row r="25" spans="3:11" x14ac:dyDescent="0.2">
      <c r="C25" s="99"/>
    </row>
    <row r="26" spans="3:11" x14ac:dyDescent="0.2">
      <c r="C26" s="99" t="s">
        <v>183</v>
      </c>
    </row>
    <row r="27" spans="3:11" x14ac:dyDescent="0.2">
      <c r="C27" s="99"/>
      <c r="D27" s="89" t="s">
        <v>184</v>
      </c>
      <c r="G27" s="101" t="str">
        <f t="shared" ref="G27:G32" si="0">Currency</f>
        <v>US$'000</v>
      </c>
      <c r="I27" s="107"/>
      <c r="K27" s="107">
        <v>30</v>
      </c>
    </row>
    <row r="28" spans="3:11" x14ac:dyDescent="0.2">
      <c r="C28" s="99"/>
      <c r="D28" s="89" t="s">
        <v>185</v>
      </c>
      <c r="G28" s="101" t="str">
        <f t="shared" si="0"/>
        <v>US$'000</v>
      </c>
      <c r="I28" s="107"/>
      <c r="K28" s="107">
        <v>20</v>
      </c>
    </row>
    <row r="29" spans="3:11" x14ac:dyDescent="0.2">
      <c r="C29" s="99"/>
      <c r="D29" s="89" t="s">
        <v>186</v>
      </c>
      <c r="G29" s="101" t="str">
        <f t="shared" si="0"/>
        <v>US$'000</v>
      </c>
      <c r="I29" s="107"/>
      <c r="K29" s="107">
        <v>15</v>
      </c>
    </row>
    <row r="30" spans="3:11" x14ac:dyDescent="0.2">
      <c r="C30" s="99"/>
      <c r="D30" s="89" t="s">
        <v>187</v>
      </c>
      <c r="G30" s="101" t="str">
        <f t="shared" si="0"/>
        <v>US$'000</v>
      </c>
      <c r="I30" s="107"/>
      <c r="K30" s="107">
        <v>40</v>
      </c>
    </row>
    <row r="31" spans="3:11" x14ac:dyDescent="0.2">
      <c r="C31" s="99"/>
      <c r="D31" s="89" t="s">
        <v>273</v>
      </c>
      <c r="G31" s="101" t="str">
        <f t="shared" si="0"/>
        <v>US$'000</v>
      </c>
      <c r="I31" s="107"/>
      <c r="K31" s="107">
        <v>10</v>
      </c>
    </row>
    <row r="32" spans="3:11" x14ac:dyDescent="0.2">
      <c r="C32" s="99"/>
      <c r="D32" s="79" t="s">
        <v>274</v>
      </c>
      <c r="G32" s="101" t="str">
        <f t="shared" si="0"/>
        <v>US$'000</v>
      </c>
      <c r="I32" s="71"/>
      <c r="K32" s="71">
        <f>SUM(K27:K31)</f>
        <v>115</v>
      </c>
    </row>
    <row r="33" spans="3:11" x14ac:dyDescent="0.2">
      <c r="C33" s="99"/>
    </row>
    <row r="34" spans="3:11" x14ac:dyDescent="0.2">
      <c r="C34" s="99" t="s">
        <v>188</v>
      </c>
    </row>
    <row r="35" spans="3:11" x14ac:dyDescent="0.2">
      <c r="C35" s="99"/>
      <c r="D35" s="89" t="s">
        <v>115</v>
      </c>
      <c r="G35" s="101" t="str">
        <f>Currency</f>
        <v>US$'000</v>
      </c>
      <c r="I35" s="140"/>
      <c r="K35" s="140">
        <v>150</v>
      </c>
    </row>
    <row r="36" spans="3:11" x14ac:dyDescent="0.2">
      <c r="C36" s="99"/>
      <c r="D36" s="89" t="s">
        <v>189</v>
      </c>
      <c r="G36" s="101" t="str">
        <f>Currency</f>
        <v>US$'000</v>
      </c>
      <c r="I36" s="107"/>
      <c r="K36" s="107">
        <v>25</v>
      </c>
    </row>
    <row r="37" spans="3:11" x14ac:dyDescent="0.2">
      <c r="C37" s="99"/>
      <c r="D37" s="79" t="s">
        <v>190</v>
      </c>
      <c r="G37" s="101" t="str">
        <f>Currency</f>
        <v>US$'000</v>
      </c>
      <c r="I37" s="71"/>
      <c r="K37" s="71">
        <f>SUM(K35:K36)</f>
        <v>175</v>
      </c>
    </row>
    <row r="38" spans="3:11" x14ac:dyDescent="0.2">
      <c r="C38" s="99"/>
    </row>
    <row r="39" spans="3:11" x14ac:dyDescent="0.2">
      <c r="C39" s="99" t="s">
        <v>191</v>
      </c>
      <c r="G39" s="101" t="str">
        <f>Currency</f>
        <v>US$'000</v>
      </c>
      <c r="I39" s="71"/>
      <c r="K39" s="71">
        <f>K32+K37</f>
        <v>290</v>
      </c>
    </row>
    <row r="40" spans="3:11" x14ac:dyDescent="0.2">
      <c r="C40" s="99"/>
    </row>
    <row r="41" spans="3:11" ht="12.75" thickBot="1" x14ac:dyDescent="0.25">
      <c r="C41" s="99" t="s">
        <v>192</v>
      </c>
      <c r="G41" s="101" t="str">
        <f>Currency</f>
        <v>US$'000</v>
      </c>
      <c r="I41" s="124"/>
      <c r="K41" s="124">
        <f>K24-K39</f>
        <v>545</v>
      </c>
    </row>
    <row r="42" spans="3:11" ht="12.75" thickTop="1" x14ac:dyDescent="0.2">
      <c r="C42" s="99"/>
    </row>
    <row r="43" spans="3:11" x14ac:dyDescent="0.2">
      <c r="C43" s="99"/>
    </row>
    <row r="44" spans="3:11" x14ac:dyDescent="0.2">
      <c r="C44" s="99" t="s">
        <v>193</v>
      </c>
    </row>
    <row r="45" spans="3:11" x14ac:dyDescent="0.2">
      <c r="C45" s="99"/>
      <c r="D45" s="129" t="s">
        <v>194</v>
      </c>
      <c r="G45" s="101" t="str">
        <f>Currency</f>
        <v>US$'000</v>
      </c>
      <c r="I45" s="107"/>
      <c r="K45" s="107">
        <v>300</v>
      </c>
    </row>
    <row r="46" spans="3:11" outlineLevel="1" x14ac:dyDescent="0.2">
      <c r="C46" s="99"/>
      <c r="D46" s="129"/>
      <c r="G46" s="101"/>
    </row>
    <row r="47" spans="3:11" x14ac:dyDescent="0.2">
      <c r="C47" s="99"/>
      <c r="E47" s="89" t="s">
        <v>131</v>
      </c>
      <c r="G47" s="101" t="str">
        <f>Currency</f>
        <v>US$'000</v>
      </c>
      <c r="I47" s="107"/>
      <c r="K47" s="107">
        <v>0</v>
      </c>
    </row>
    <row r="48" spans="3:11" x14ac:dyDescent="0.2">
      <c r="C48" s="99"/>
      <c r="E48" s="89" t="s">
        <v>195</v>
      </c>
      <c r="G48" s="101" t="str">
        <f>Currency</f>
        <v>US$'000</v>
      </c>
      <c r="I48" s="107"/>
      <c r="K48" s="107">
        <v>0</v>
      </c>
    </row>
    <row r="49" spans="3:11" x14ac:dyDescent="0.2">
      <c r="C49" s="99"/>
      <c r="D49" s="89" t="s">
        <v>170</v>
      </c>
      <c r="G49" s="101" t="str">
        <f>Currency</f>
        <v>US$'000</v>
      </c>
      <c r="I49" s="71"/>
      <c r="K49" s="71">
        <f>K41-K45-K47-K48</f>
        <v>245</v>
      </c>
    </row>
    <row r="50" spans="3:11" ht="12.75" thickBot="1" x14ac:dyDescent="0.25">
      <c r="C50" s="79" t="s">
        <v>196</v>
      </c>
      <c r="D50" s="90"/>
      <c r="G50" s="101" t="str">
        <f>Currency</f>
        <v>US$'000</v>
      </c>
      <c r="I50" s="124"/>
      <c r="K50" s="124">
        <f>SUM(K45,K47:K49)</f>
        <v>545</v>
      </c>
    </row>
    <row r="51" spans="3:11" ht="12.75" thickTop="1" x14ac:dyDescent="0.2">
      <c r="C51" s="99"/>
    </row>
    <row r="52" spans="3:11" x14ac:dyDescent="0.2">
      <c r="C52" s="99"/>
    </row>
    <row r="53" spans="3:11" x14ac:dyDescent="0.2">
      <c r="C53" s="99" t="s">
        <v>197</v>
      </c>
    </row>
    <row r="54" spans="3:11" x14ac:dyDescent="0.2">
      <c r="C54" s="99"/>
    </row>
    <row r="55" spans="3:11" x14ac:dyDescent="0.2">
      <c r="C55" s="99"/>
      <c r="D55" s="89" t="s">
        <v>198</v>
      </c>
      <c r="G55" s="101" t="str">
        <f>Boolean</f>
        <v>[1,0]</v>
      </c>
      <c r="I55" s="94">
        <f>IF(ISERROR(I41-I50),1,0)</f>
        <v>0</v>
      </c>
    </row>
    <row r="56" spans="3:11" x14ac:dyDescent="0.2">
      <c r="C56" s="99"/>
      <c r="D56" s="89" t="s">
        <v>199</v>
      </c>
      <c r="G56" s="101" t="str">
        <f>Boolean</f>
        <v>[1,0]</v>
      </c>
      <c r="I56" s="94">
        <f>IF(I55&lt;&gt;0,0,(ROUND(I41-I50,Rounding_Accuracy)&lt;&gt;0)*1)</f>
        <v>0</v>
      </c>
    </row>
    <row r="57" spans="3:11" x14ac:dyDescent="0.2">
      <c r="D57" s="89" t="s">
        <v>205</v>
      </c>
      <c r="G57" s="101" t="str">
        <f>Boolean</f>
        <v>[1,0]</v>
      </c>
      <c r="I57" s="94">
        <f>IF(AND(I55=0,I56=0),(I41&lt;0)*1,0)</f>
        <v>0</v>
      </c>
    </row>
  </sheetData>
  <mergeCells count="1">
    <mergeCell ref="H1:I1"/>
  </mergeCells>
  <conditionalFormatting sqref="G4">
    <cfRule type="cellIs" dxfId="11" priority="4" operator="notEqual">
      <formula>0</formula>
    </cfRule>
  </conditionalFormatting>
  <conditionalFormatting sqref="I55:I57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G4" location="Overall_Error_Check" tooltip="Go to Overall Error Check" display="Overall_Error_Check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3" width="3.7109375" style="72" customWidth="1"/>
    <col min="4" max="4" width="27.140625" style="72" customWidth="1"/>
    <col min="5" max="6" width="1.7109375" style="72" customWidth="1"/>
    <col min="8" max="9" width="1.7109375" customWidth="1"/>
  </cols>
  <sheetData>
    <row r="1" spans="1:15" s="61" customFormat="1" ht="20.25" x14ac:dyDescent="0.3">
      <c r="A1" s="46" t="str">
        <f ca="1">IFERROR(RIGHT(CELL("filename",A1),LEN(CELL("filename",A1))-FIND("]",CELL("filename",A1))),"")</f>
        <v>Income Statement</v>
      </c>
      <c r="B1" s="72"/>
      <c r="C1" s="72"/>
      <c r="D1" s="72"/>
      <c r="E1" s="72"/>
      <c r="F1" s="72"/>
    </row>
    <row r="2" spans="1:15" s="61" customFormat="1" ht="18" x14ac:dyDescent="0.25">
      <c r="A2" s="73" t="str">
        <f ca="1">Model_Name</f>
        <v>Chapter 10.06 - COGS.xlsm</v>
      </c>
      <c r="B2" s="72"/>
      <c r="C2" s="72"/>
      <c r="D2" s="72"/>
      <c r="E2" s="72"/>
      <c r="F2" s="72"/>
    </row>
    <row r="3" spans="1:15" s="61" customFormat="1" x14ac:dyDescent="0.2">
      <c r="A3" s="141" t="s">
        <v>1</v>
      </c>
      <c r="B3" s="74"/>
      <c r="C3" s="74"/>
      <c r="D3" s="74"/>
      <c r="E3" s="74"/>
      <c r="F3" s="72"/>
    </row>
    <row r="4" spans="1:15" s="84" customFormat="1" ht="14.25" x14ac:dyDescent="0.2">
      <c r="A4" s="72" t="s">
        <v>2</v>
      </c>
      <c r="B4" s="74"/>
      <c r="C4" s="74"/>
      <c r="D4" s="74"/>
      <c r="F4" s="72"/>
      <c r="G4" s="65">
        <f>Overall_Error_Check</f>
        <v>0</v>
      </c>
    </row>
    <row r="5" spans="1:15" s="61" customFormat="1" x14ac:dyDescent="0.2">
      <c r="A5" s="74"/>
      <c r="B5" s="74"/>
      <c r="C5" s="72"/>
      <c r="D5" s="74"/>
      <c r="E5" s="74"/>
      <c r="F5" s="72"/>
      <c r="G5" s="62"/>
      <c r="H5" s="62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1" customFormat="1" x14ac:dyDescent="0.2">
      <c r="A6" s="74"/>
      <c r="B6" s="74"/>
      <c r="C6" s="72" t="str">
        <f>Timing!C6</f>
        <v>Start Date</v>
      </c>
      <c r="D6" s="74"/>
      <c r="E6" s="74"/>
      <c r="F6" s="72"/>
      <c r="G6" s="62"/>
      <c r="H6" s="62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1" customFormat="1" x14ac:dyDescent="0.2">
      <c r="A7" s="74"/>
      <c r="B7" s="74"/>
      <c r="C7" s="72" t="str">
        <f>Timing!C7</f>
        <v>End Date</v>
      </c>
      <c r="D7" s="74"/>
      <c r="E7" s="74"/>
      <c r="F7" s="72"/>
      <c r="G7" s="62"/>
      <c r="H7" s="62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4" customFormat="1" x14ac:dyDescent="0.2">
      <c r="A8" s="74"/>
      <c r="B8" s="74"/>
      <c r="C8" s="72" t="str">
        <f>Timing!C8</f>
        <v>Number of Days</v>
      </c>
      <c r="D8" s="74"/>
      <c r="E8" s="74"/>
      <c r="F8" s="72"/>
      <c r="G8" s="83"/>
      <c r="H8" s="83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1" customFormat="1" x14ac:dyDescent="0.2">
      <c r="A9" s="72"/>
      <c r="B9" s="72"/>
      <c r="C9" s="72" t="str">
        <f>Timing!C9</f>
        <v>Counter</v>
      </c>
      <c r="D9" s="72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s="61" customFormat="1" x14ac:dyDescent="0.2">
      <c r="A10" s="72"/>
      <c r="B10" s="72"/>
      <c r="C10" s="72"/>
      <c r="D10" s="72"/>
      <c r="E10" s="72"/>
      <c r="F10" s="72"/>
    </row>
    <row r="11" spans="1:15" s="61" customFormat="1" ht="16.5" thickBot="1" x14ac:dyDescent="0.3">
      <c r="A11" s="72"/>
      <c r="B11" s="48">
        <f>MAX($B$7:$B10)+1</f>
        <v>1</v>
      </c>
      <c r="C11" s="3" t="str">
        <f ca="1">A1</f>
        <v>Income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1" customFormat="1" ht="12.75" thickTop="1" x14ac:dyDescent="0.2">
      <c r="A12" s="72"/>
      <c r="B12" s="72"/>
      <c r="C12" s="72"/>
      <c r="D12" s="72"/>
      <c r="E12" s="72"/>
      <c r="F12" s="72"/>
    </row>
    <row r="13" spans="1:15" x14ac:dyDescent="0.2">
      <c r="D13" s="72" t="s">
        <v>112</v>
      </c>
      <c r="G13" s="64" t="str">
        <f>Currency</f>
        <v>US$'000</v>
      </c>
      <c r="H13" s="64"/>
      <c r="J13" s="36">
        <f>Calculations!J32</f>
        <v>400</v>
      </c>
      <c r="K13" s="36">
        <f>Calculations!K32</f>
        <v>448.00000000000006</v>
      </c>
      <c r="L13" s="36">
        <f>Calculations!L32</f>
        <v>492.80000000000013</v>
      </c>
      <c r="M13" s="36">
        <f>Calculations!M32</f>
        <v>532.22400000000016</v>
      </c>
      <c r="N13" s="36">
        <f>Calculations!N32</f>
        <v>558.83520000000021</v>
      </c>
    </row>
    <row r="14" spans="1:15" x14ac:dyDescent="0.2">
      <c r="D14" s="72" t="s">
        <v>113</v>
      </c>
      <c r="G14" s="64" t="str">
        <f>Currency</f>
        <v>US$'000</v>
      </c>
      <c r="H14" s="64"/>
      <c r="J14" s="36">
        <f>-Calculations!J58</f>
        <v>-120</v>
      </c>
      <c r="K14" s="36">
        <f>-Calculations!K58</f>
        <v>-134.40000000000003</v>
      </c>
      <c r="L14" s="36">
        <f>-Calculations!L58</f>
        <v>-147.84000000000003</v>
      </c>
      <c r="M14" s="36">
        <f>-Calculations!M58</f>
        <v>-159.66720000000009</v>
      </c>
      <c r="N14" s="36">
        <f>-Calculations!N58</f>
        <v>-167.6505600000001</v>
      </c>
    </row>
    <row r="15" spans="1:15" x14ac:dyDescent="0.2">
      <c r="D15" s="79" t="s">
        <v>146</v>
      </c>
      <c r="G15" s="64" t="str">
        <f>Currency</f>
        <v>US$'000</v>
      </c>
      <c r="H15" s="64"/>
      <c r="J15" s="125">
        <f>SUM(J13:J14)</f>
        <v>280</v>
      </c>
      <c r="K15" s="125">
        <f t="shared" ref="K15:N15" si="0">SUM(K13:K14)</f>
        <v>313.60000000000002</v>
      </c>
      <c r="L15" s="125">
        <f t="shared" si="0"/>
        <v>344.96000000000009</v>
      </c>
      <c r="M15" s="125">
        <f t="shared" si="0"/>
        <v>372.55680000000007</v>
      </c>
      <c r="N15" s="125">
        <f t="shared" si="0"/>
        <v>391.18464000000012</v>
      </c>
    </row>
    <row r="16" spans="1:15" x14ac:dyDescent="0.2">
      <c r="H16" s="61"/>
      <c r="J16" s="36"/>
      <c r="K16" s="36"/>
      <c r="L16" s="36"/>
      <c r="M16" s="36"/>
      <c r="N16" s="36"/>
    </row>
    <row r="17" spans="4:14" x14ac:dyDescent="0.2">
      <c r="D17" s="72" t="s">
        <v>200</v>
      </c>
      <c r="G17" s="64" t="str">
        <f>Currency</f>
        <v>US$'000</v>
      </c>
      <c r="H17" s="64"/>
      <c r="J17" s="36"/>
      <c r="K17" s="36"/>
      <c r="L17" s="36"/>
      <c r="M17" s="36"/>
      <c r="N17" s="36"/>
    </row>
    <row r="18" spans="4:14" x14ac:dyDescent="0.2">
      <c r="D18" s="79" t="s">
        <v>201</v>
      </c>
      <c r="G18" s="64" t="str">
        <f>Currency</f>
        <v>US$'000</v>
      </c>
      <c r="H18" s="64"/>
      <c r="J18" s="125">
        <f>J15+J17</f>
        <v>280</v>
      </c>
      <c r="K18" s="125">
        <f t="shared" ref="K18:N18" si="1">K15+K17</f>
        <v>313.60000000000002</v>
      </c>
      <c r="L18" s="125">
        <f t="shared" si="1"/>
        <v>344.96000000000009</v>
      </c>
      <c r="M18" s="125">
        <f t="shared" si="1"/>
        <v>372.55680000000007</v>
      </c>
      <c r="N18" s="125">
        <f t="shared" si="1"/>
        <v>391.18464000000012</v>
      </c>
    </row>
    <row r="19" spans="4:14" x14ac:dyDescent="0.2">
      <c r="H19" s="61"/>
      <c r="J19" s="36"/>
      <c r="K19" s="36"/>
      <c r="L19" s="36"/>
      <c r="M19" s="36"/>
      <c r="N19" s="36"/>
    </row>
    <row r="20" spans="4:14" x14ac:dyDescent="0.2">
      <c r="D20" s="72" t="s">
        <v>129</v>
      </c>
      <c r="G20" s="64" t="str">
        <f>Currency</f>
        <v>US$'000</v>
      </c>
      <c r="H20" s="64"/>
      <c r="J20" s="36"/>
      <c r="K20" s="36"/>
      <c r="L20" s="36"/>
      <c r="M20" s="36"/>
      <c r="N20" s="36"/>
    </row>
    <row r="21" spans="4:14" x14ac:dyDescent="0.2">
      <c r="D21" s="79" t="s">
        <v>202</v>
      </c>
      <c r="G21" s="64" t="str">
        <f>Currency</f>
        <v>US$'000</v>
      </c>
      <c r="H21" s="64"/>
      <c r="J21" s="125">
        <f>J18+J20</f>
        <v>280</v>
      </c>
      <c r="K21" s="125">
        <f t="shared" ref="K21" si="2">K18+K20</f>
        <v>313.60000000000002</v>
      </c>
      <c r="L21" s="125">
        <f t="shared" ref="L21" si="3">L18+L20</f>
        <v>344.96000000000009</v>
      </c>
      <c r="M21" s="125">
        <f t="shared" ref="M21" si="4">M18+M20</f>
        <v>372.55680000000007</v>
      </c>
      <c r="N21" s="125">
        <f t="shared" ref="N21" si="5">N18+N20</f>
        <v>391.18464000000012</v>
      </c>
    </row>
    <row r="22" spans="4:14" x14ac:dyDescent="0.2">
      <c r="H22" s="61"/>
      <c r="J22" s="36"/>
      <c r="K22" s="36"/>
      <c r="L22" s="36"/>
      <c r="M22" s="36"/>
      <c r="N22" s="36"/>
    </row>
    <row r="23" spans="4:14" x14ac:dyDescent="0.2">
      <c r="D23" s="72" t="s">
        <v>135</v>
      </c>
      <c r="G23" s="64" t="str">
        <f>Currency</f>
        <v>US$'000</v>
      </c>
      <c r="H23" s="64"/>
      <c r="J23" s="36"/>
      <c r="K23" s="36"/>
      <c r="L23" s="36"/>
      <c r="M23" s="36"/>
      <c r="N23" s="36"/>
    </row>
    <row r="24" spans="4:14" x14ac:dyDescent="0.2">
      <c r="D24" s="79" t="s">
        <v>130</v>
      </c>
      <c r="G24" s="64" t="str">
        <f>Currency</f>
        <v>US$'000</v>
      </c>
      <c r="H24" s="64"/>
      <c r="J24" s="125">
        <f>J21+J23</f>
        <v>280</v>
      </c>
      <c r="K24" s="125">
        <f t="shared" ref="K24" si="6">K21+K23</f>
        <v>313.60000000000002</v>
      </c>
      <c r="L24" s="125">
        <f t="shared" ref="L24" si="7">L21+L23</f>
        <v>344.96000000000009</v>
      </c>
      <c r="M24" s="125">
        <f t="shared" ref="M24" si="8">M21+M23</f>
        <v>372.55680000000007</v>
      </c>
      <c r="N24" s="125">
        <f t="shared" ref="N24" si="9">N21+N23</f>
        <v>391.18464000000012</v>
      </c>
    </row>
    <row r="25" spans="4:14" x14ac:dyDescent="0.2">
      <c r="H25" s="61"/>
      <c r="J25" s="36"/>
      <c r="K25" s="36"/>
      <c r="L25" s="36"/>
      <c r="M25" s="36"/>
      <c r="N25" s="36"/>
    </row>
    <row r="26" spans="4:14" x14ac:dyDescent="0.2">
      <c r="D26" s="72" t="s">
        <v>203</v>
      </c>
      <c r="G26" s="64" t="str">
        <f>Currency</f>
        <v>US$'000</v>
      </c>
      <c r="H26" s="64"/>
      <c r="J26" s="36"/>
      <c r="K26" s="36"/>
      <c r="L26" s="36"/>
      <c r="M26" s="36"/>
      <c r="N26" s="36"/>
    </row>
    <row r="27" spans="4:14" ht="12.75" thickBot="1" x14ac:dyDescent="0.25">
      <c r="D27" s="79" t="s">
        <v>131</v>
      </c>
      <c r="G27" s="64" t="str">
        <f>Currency</f>
        <v>US$'000</v>
      </c>
      <c r="H27" s="64"/>
      <c r="J27" s="130">
        <f>J24+J26</f>
        <v>280</v>
      </c>
      <c r="K27" s="130">
        <f t="shared" ref="K27:N27" si="10">K24+K26</f>
        <v>313.60000000000002</v>
      </c>
      <c r="L27" s="130">
        <f t="shared" si="10"/>
        <v>344.96000000000009</v>
      </c>
      <c r="M27" s="130">
        <f t="shared" si="10"/>
        <v>372.55680000000007</v>
      </c>
      <c r="N27" s="130">
        <f t="shared" si="10"/>
        <v>391.18464000000012</v>
      </c>
    </row>
    <row r="28" spans="4:14" ht="12.75" thickTop="1" x14ac:dyDescent="0.2"/>
  </sheetData>
  <conditionalFormatting sqref="G12 G10 G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G4" location="Overall_Error_Check" tooltip="Go to Overall Error Check" display="Overall_Error_Check" xr:uid="{00000000-0004-0000-0700-000002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outlinePr summaryBelow="0" summaryRight="0"/>
  </sheetPr>
  <dimension ref="A1:Q58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0" customWidth="1"/>
    <col min="5" max="5" width="20.140625" style="90" customWidth="1"/>
    <col min="6" max="6" width="1.7109375" style="90" customWidth="1"/>
    <col min="7" max="7" width="9.140625" style="90"/>
    <col min="8" max="8" width="1.7109375" style="90" customWidth="1"/>
    <col min="9" max="16384" width="9.140625" style="90"/>
  </cols>
  <sheetData>
    <row r="1" spans="1:15" ht="20.25" x14ac:dyDescent="0.3">
      <c r="A1" s="46" t="str">
        <f ca="1">IFERROR(RIGHT(CELL("filename",A1),LEN(CELL("filename",A1))-FIND("]",CELL("filename",A1))),"")</f>
        <v>Balance Sheet</v>
      </c>
    </row>
    <row r="2" spans="1:15" ht="18" x14ac:dyDescent="0.25">
      <c r="A2" s="73" t="str">
        <f ca="1">Model_Name</f>
        <v>Chapter 10.06 - COGS.xlsm</v>
      </c>
    </row>
    <row r="3" spans="1:15" x14ac:dyDescent="0.2">
      <c r="A3" s="141" t="s">
        <v>1</v>
      </c>
      <c r="B3" s="108"/>
      <c r="C3" s="108"/>
      <c r="D3" s="108"/>
      <c r="E3" s="108"/>
      <c r="G3" s="97"/>
    </row>
    <row r="4" spans="1:15" x14ac:dyDescent="0.2">
      <c r="A4" s="90" t="s">
        <v>2</v>
      </c>
      <c r="B4" s="108"/>
      <c r="C4" s="108"/>
      <c r="D4" s="108"/>
      <c r="E4" s="108"/>
      <c r="G4" s="94">
        <f>Overall_Error_Check</f>
        <v>0</v>
      </c>
    </row>
    <row r="5" spans="1:15" x14ac:dyDescent="0.2">
      <c r="A5" s="82"/>
      <c r="B5" s="108"/>
      <c r="C5" s="108"/>
      <c r="D5" s="108"/>
      <c r="E5" s="108"/>
      <c r="G5" s="97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82"/>
      <c r="B6" s="108"/>
      <c r="C6" s="90" t="str">
        <f>Timing!C6</f>
        <v>Start Date</v>
      </c>
      <c r="D6" s="108"/>
      <c r="E6" s="108"/>
      <c r="G6" s="97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72"/>
      <c r="B7" s="108"/>
      <c r="C7" s="90" t="str">
        <f>Timing!C7</f>
        <v>End Date</v>
      </c>
      <c r="D7" s="108"/>
      <c r="E7" s="108"/>
      <c r="G7" s="97"/>
      <c r="H7" s="97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05"/>
      <c r="B8" s="108"/>
      <c r="C8" s="90" t="str">
        <f>Timing!C8</f>
        <v>Number of Days</v>
      </c>
      <c r="D8" s="108"/>
      <c r="E8" s="108"/>
      <c r="G8" s="97"/>
      <c r="H8" s="97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05"/>
      <c r="B9" s="108"/>
      <c r="C9" s="90" t="str">
        <f>Timing!C9</f>
        <v>Counter</v>
      </c>
      <c r="D9" s="108"/>
      <c r="E9" s="108"/>
      <c r="G9" s="97"/>
      <c r="H9" s="97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Balance Sheet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>
      <c r="C12" s="126"/>
    </row>
    <row r="13" spans="1:15" x14ac:dyDescent="0.2">
      <c r="C13" s="126" t="str">
        <f>'Opening Balance Sheet'!C13</f>
        <v>Current Assets</v>
      </c>
    </row>
    <row r="14" spans="1:15" x14ac:dyDescent="0.2">
      <c r="C14" s="126"/>
      <c r="D14" s="90" t="str">
        <f>'Opening Balance Sheet'!D14</f>
        <v xml:space="preserve">Cash </v>
      </c>
      <c r="G14" s="101" t="str">
        <f>Currency</f>
        <v>US$'000</v>
      </c>
      <c r="H14" s="101"/>
      <c r="J14" s="118">
        <f>IF(J$9=1,'Opening Balance Sheet'!$I$14,I14)+'Cash Flow Statement'!J37</f>
        <v>243.83561643835617</v>
      </c>
      <c r="K14" s="118">
        <f>IF(K$9=1,'Opening Balance Sheet'!$I$14,J14)+'Cash Flow Statement'!K37</f>
        <v>553.09589041095887</v>
      </c>
      <c r="L14" s="118">
        <f>IF(L$9=1,'Opening Balance Sheet'!$I$14,K14)+'Cash Flow Statement'!L37</f>
        <v>894.00547945205483</v>
      </c>
      <c r="M14" s="118">
        <f>IF(M$9=1,'Opening Balance Sheet'!$I$14,L14)+'Cash Flow Statement'!M37</f>
        <v>1263.1293901639347</v>
      </c>
      <c r="N14" s="118">
        <f>IF(N$9=1,'Opening Balance Sheet'!$I$14,M14)+'Cash Flow Statement'!N37</f>
        <v>1651.7766136986306</v>
      </c>
    </row>
    <row r="15" spans="1:15" x14ac:dyDescent="0.2">
      <c r="C15" s="126"/>
      <c r="D15" s="90" t="str">
        <f>'Opening Balance Sheet'!D15</f>
        <v>Accounts Receivable</v>
      </c>
      <c r="G15" s="101" t="str">
        <f>Currency</f>
        <v>US$'000</v>
      </c>
      <c r="H15" s="101"/>
      <c r="J15" s="118">
        <f>Calculations!J34</f>
        <v>65.753424657534239</v>
      </c>
      <c r="K15" s="118">
        <f>Calculations!K34</f>
        <v>73.643835616438366</v>
      </c>
      <c r="L15" s="118">
        <f>Calculations!L34</f>
        <v>81.008219178082214</v>
      </c>
      <c r="M15" s="118">
        <f>Calculations!M34</f>
        <v>87.249836065573788</v>
      </c>
      <c r="N15" s="118">
        <f>Calculations!N34</f>
        <v>91.863320547945236</v>
      </c>
    </row>
    <row r="16" spans="1:15" x14ac:dyDescent="0.2">
      <c r="C16" s="126"/>
      <c r="D16" s="90" t="str">
        <f>'Opening Balance Sheet'!D16</f>
        <v>Other Current Assets</v>
      </c>
      <c r="G16" s="101" t="str">
        <f>Currency</f>
        <v>US$'000</v>
      </c>
      <c r="H16" s="101"/>
      <c r="J16" s="118"/>
      <c r="K16" s="118"/>
      <c r="L16" s="118"/>
      <c r="M16" s="118"/>
      <c r="N16" s="118"/>
    </row>
    <row r="17" spans="3:14" x14ac:dyDescent="0.2">
      <c r="C17" s="126"/>
      <c r="D17" s="66" t="str">
        <f>'Opening Balance Sheet'!D17</f>
        <v>Total Current Assets</v>
      </c>
      <c r="G17" s="101" t="str">
        <f>Currency</f>
        <v>US$'000</v>
      </c>
      <c r="H17" s="101"/>
      <c r="J17" s="123">
        <f>SUM(J14:J16)</f>
        <v>309.58904109589042</v>
      </c>
      <c r="K17" s="123">
        <f t="shared" ref="K17:N17" si="0">SUM(K14:K16)</f>
        <v>626.73972602739718</v>
      </c>
      <c r="L17" s="123">
        <f t="shared" si="0"/>
        <v>975.01369863013701</v>
      </c>
      <c r="M17" s="123">
        <f t="shared" si="0"/>
        <v>1350.3792262295085</v>
      </c>
      <c r="N17" s="123">
        <f t="shared" si="0"/>
        <v>1743.6399342465759</v>
      </c>
    </row>
    <row r="18" spans="3:14" x14ac:dyDescent="0.2">
      <c r="C18" s="126"/>
      <c r="J18" s="118"/>
      <c r="K18" s="118"/>
      <c r="L18" s="118"/>
      <c r="M18" s="118"/>
      <c r="N18" s="118"/>
    </row>
    <row r="19" spans="3:14" x14ac:dyDescent="0.2">
      <c r="C19" s="126" t="str">
        <f>'Opening Balance Sheet'!C19</f>
        <v>Non-Current Assets</v>
      </c>
      <c r="J19" s="118"/>
      <c r="K19" s="118"/>
      <c r="L19" s="118"/>
      <c r="M19" s="118"/>
      <c r="N19" s="118"/>
    </row>
    <row r="20" spans="3:14" x14ac:dyDescent="0.2">
      <c r="C20" s="126"/>
      <c r="D20" s="90" t="str">
        <f>'Opening Balance Sheet'!D20</f>
        <v>PP&amp;E</v>
      </c>
      <c r="G20" s="101" t="str">
        <f>Currency</f>
        <v>US$'000</v>
      </c>
      <c r="H20" s="101"/>
      <c r="J20" s="118"/>
      <c r="K20" s="118"/>
      <c r="L20" s="118"/>
      <c r="M20" s="118"/>
      <c r="N20" s="118"/>
    </row>
    <row r="21" spans="3:14" x14ac:dyDescent="0.2">
      <c r="C21" s="126"/>
      <c r="D21" s="90" t="str">
        <f>'Opening Balance Sheet'!D21</f>
        <v>Deferred Tax Assets</v>
      </c>
      <c r="G21" s="101" t="str">
        <f>Currency</f>
        <v>US$'000</v>
      </c>
      <c r="H21" s="101"/>
      <c r="J21" s="118"/>
      <c r="K21" s="118"/>
      <c r="L21" s="118"/>
      <c r="M21" s="118"/>
      <c r="N21" s="118"/>
    </row>
    <row r="22" spans="3:14" x14ac:dyDescent="0.2">
      <c r="C22" s="126"/>
      <c r="D22" s="66" t="str">
        <f>'Opening Balance Sheet'!D22</f>
        <v>Total Non-Current Assets</v>
      </c>
      <c r="G22" s="101" t="str">
        <f>Currency</f>
        <v>US$'000</v>
      </c>
      <c r="H22" s="101"/>
      <c r="J22" s="123">
        <f>SUM(J20:J21)</f>
        <v>0</v>
      </c>
      <c r="K22" s="123">
        <f t="shared" ref="K22:N22" si="1">SUM(K20:K21)</f>
        <v>0</v>
      </c>
      <c r="L22" s="123">
        <f t="shared" si="1"/>
        <v>0</v>
      </c>
      <c r="M22" s="123">
        <f t="shared" si="1"/>
        <v>0</v>
      </c>
      <c r="N22" s="123">
        <f t="shared" si="1"/>
        <v>0</v>
      </c>
    </row>
    <row r="23" spans="3:14" x14ac:dyDescent="0.2">
      <c r="C23" s="126"/>
      <c r="J23" s="118"/>
      <c r="K23" s="118"/>
      <c r="L23" s="118"/>
      <c r="M23" s="118"/>
      <c r="N23" s="118"/>
    </row>
    <row r="24" spans="3:14" x14ac:dyDescent="0.2">
      <c r="C24" s="126" t="str">
        <f>'Opening Balance Sheet'!C24</f>
        <v>Total Assets</v>
      </c>
      <c r="G24" s="101" t="str">
        <f>Currency</f>
        <v>US$'000</v>
      </c>
      <c r="H24" s="101"/>
      <c r="J24" s="123">
        <f>J17+J22</f>
        <v>309.58904109589042</v>
      </c>
      <c r="K24" s="123">
        <f t="shared" ref="K24:N24" si="2">K17+K22</f>
        <v>626.73972602739718</v>
      </c>
      <c r="L24" s="123">
        <f t="shared" si="2"/>
        <v>975.01369863013701</v>
      </c>
      <c r="M24" s="123">
        <f t="shared" si="2"/>
        <v>1350.3792262295085</v>
      </c>
      <c r="N24" s="123">
        <f t="shared" si="2"/>
        <v>1743.6399342465759</v>
      </c>
    </row>
    <row r="25" spans="3:14" x14ac:dyDescent="0.2">
      <c r="C25" s="126"/>
      <c r="J25" s="118"/>
      <c r="K25" s="118"/>
      <c r="L25" s="118"/>
      <c r="M25" s="118"/>
      <c r="N25" s="118"/>
    </row>
    <row r="26" spans="3:14" x14ac:dyDescent="0.2">
      <c r="C26" s="126" t="str">
        <f>'Opening Balance Sheet'!C26</f>
        <v>Current Liabilities</v>
      </c>
      <c r="J26" s="118"/>
      <c r="K26" s="118"/>
      <c r="L26" s="118"/>
      <c r="M26" s="118"/>
      <c r="N26" s="118"/>
    </row>
    <row r="27" spans="3:14" x14ac:dyDescent="0.2">
      <c r="C27" s="126"/>
      <c r="D27" s="90" t="str">
        <f>'Opening Balance Sheet'!D27</f>
        <v>Accounts Payable</v>
      </c>
      <c r="G27" s="101" t="str">
        <f t="shared" ref="G27:G32" si="3">Currency</f>
        <v>US$'000</v>
      </c>
      <c r="H27" s="101"/>
      <c r="J27" s="118">
        <f>Calculations!J60</f>
        <v>29.589041095890408</v>
      </c>
      <c r="K27" s="118">
        <f>Calculations!K60</f>
        <v>33.139726027397266</v>
      </c>
      <c r="L27" s="118">
        <f>Calculations!L60</f>
        <v>36.453698630136991</v>
      </c>
      <c r="M27" s="118">
        <f>Calculations!M60</f>
        <v>39.262426229508222</v>
      </c>
      <c r="N27" s="118">
        <f>Calculations!N60</f>
        <v>41.338494246575365</v>
      </c>
    </row>
    <row r="28" spans="3:14" x14ac:dyDescent="0.2">
      <c r="C28" s="126"/>
      <c r="D28" s="90" t="str">
        <f>'Opening Balance Sheet'!D28</f>
        <v>Interest Payable</v>
      </c>
      <c r="G28" s="101" t="str">
        <f t="shared" si="3"/>
        <v>US$'000</v>
      </c>
      <c r="H28" s="101"/>
      <c r="J28" s="118"/>
      <c r="K28" s="118"/>
      <c r="L28" s="118"/>
      <c r="M28" s="118"/>
      <c r="N28" s="118"/>
    </row>
    <row r="29" spans="3:14" x14ac:dyDescent="0.2">
      <c r="C29" s="126"/>
      <c r="D29" s="90" t="str">
        <f>'Opening Balance Sheet'!D29</f>
        <v>Dividends Payable</v>
      </c>
      <c r="G29" s="101" t="str">
        <f t="shared" si="3"/>
        <v>US$'000</v>
      </c>
      <c r="H29" s="101"/>
      <c r="J29" s="118"/>
      <c r="K29" s="118"/>
      <c r="L29" s="118"/>
      <c r="M29" s="118"/>
      <c r="N29" s="118"/>
    </row>
    <row r="30" spans="3:14" x14ac:dyDescent="0.2">
      <c r="C30" s="126"/>
      <c r="D30" s="90" t="str">
        <f>'Opening Balance Sheet'!D30</f>
        <v>Tax Payable</v>
      </c>
      <c r="G30" s="101" t="str">
        <f t="shared" si="3"/>
        <v>US$'000</v>
      </c>
      <c r="H30" s="101"/>
      <c r="J30" s="118"/>
      <c r="K30" s="118"/>
      <c r="L30" s="118"/>
      <c r="M30" s="118"/>
      <c r="N30" s="118"/>
    </row>
    <row r="31" spans="3:14" x14ac:dyDescent="0.2">
      <c r="C31" s="126"/>
      <c r="D31" s="90" t="str">
        <f>'Opening Balance Sheet'!D31</f>
        <v>Other Current Liabilities</v>
      </c>
      <c r="G31" s="101" t="str">
        <f t="shared" si="3"/>
        <v>US$'000</v>
      </c>
      <c r="H31" s="101"/>
      <c r="J31" s="118"/>
      <c r="K31" s="118"/>
      <c r="L31" s="118"/>
      <c r="M31" s="118"/>
      <c r="N31" s="118"/>
    </row>
    <row r="32" spans="3:14" x14ac:dyDescent="0.2">
      <c r="C32" s="126"/>
      <c r="D32" s="66" t="str">
        <f>'Opening Balance Sheet'!D32</f>
        <v>Total Current Liabilities</v>
      </c>
      <c r="G32" s="101" t="str">
        <f t="shared" si="3"/>
        <v>US$'000</v>
      </c>
      <c r="H32" s="101"/>
      <c r="J32" s="123">
        <f>SUM(J27:J31)</f>
        <v>29.589041095890408</v>
      </c>
      <c r="K32" s="123">
        <f t="shared" ref="K32:N32" si="4">SUM(K27:K31)</f>
        <v>33.139726027397266</v>
      </c>
      <c r="L32" s="123">
        <f t="shared" si="4"/>
        <v>36.453698630136991</v>
      </c>
      <c r="M32" s="123">
        <f t="shared" si="4"/>
        <v>39.262426229508222</v>
      </c>
      <c r="N32" s="123">
        <f t="shared" si="4"/>
        <v>41.338494246575365</v>
      </c>
    </row>
    <row r="33" spans="3:17" x14ac:dyDescent="0.2">
      <c r="C33" s="126"/>
      <c r="J33" s="118"/>
      <c r="K33" s="118"/>
      <c r="L33" s="118"/>
      <c r="M33" s="118"/>
      <c r="N33" s="118"/>
    </row>
    <row r="34" spans="3:17" x14ac:dyDescent="0.2">
      <c r="C34" s="126" t="str">
        <f>'Opening Balance Sheet'!C34</f>
        <v xml:space="preserve">Non-Current Liabilities </v>
      </c>
      <c r="J34" s="118"/>
      <c r="K34" s="118"/>
      <c r="L34" s="118"/>
      <c r="M34" s="118"/>
      <c r="N34" s="118"/>
    </row>
    <row r="35" spans="3:17" x14ac:dyDescent="0.2">
      <c r="C35" s="126"/>
      <c r="D35" s="90" t="str">
        <f>'Opening Balance Sheet'!D35</f>
        <v>Debt</v>
      </c>
      <c r="G35" s="101" t="str">
        <f>Currency</f>
        <v>US$'000</v>
      </c>
      <c r="H35" s="101"/>
      <c r="J35" s="118"/>
      <c r="K35" s="118"/>
      <c r="L35" s="118"/>
      <c r="M35" s="118"/>
      <c r="N35" s="118"/>
    </row>
    <row r="36" spans="3:17" x14ac:dyDescent="0.2">
      <c r="C36" s="126"/>
      <c r="D36" s="90" t="str">
        <f>'Opening Balance Sheet'!D36</f>
        <v>Deferred Tax Liabilities</v>
      </c>
      <c r="G36" s="101" t="str">
        <f>Currency</f>
        <v>US$'000</v>
      </c>
      <c r="H36" s="101"/>
      <c r="J36" s="118"/>
      <c r="K36" s="118"/>
      <c r="L36" s="118"/>
      <c r="M36" s="118"/>
      <c r="N36" s="118"/>
    </row>
    <row r="37" spans="3:17" x14ac:dyDescent="0.2">
      <c r="C37" s="126"/>
      <c r="D37" s="66" t="str">
        <f>'Opening Balance Sheet'!D37</f>
        <v>Total Non-Current Liabilities</v>
      </c>
      <c r="G37" s="101" t="str">
        <f>Currency</f>
        <v>US$'000</v>
      </c>
      <c r="H37" s="101"/>
      <c r="J37" s="123">
        <f>SUM(J35:J36)</f>
        <v>0</v>
      </c>
      <c r="K37" s="123">
        <f t="shared" ref="K37:N37" si="5">SUM(K35:K36)</f>
        <v>0</v>
      </c>
      <c r="L37" s="123">
        <f t="shared" si="5"/>
        <v>0</v>
      </c>
      <c r="M37" s="123">
        <f t="shared" si="5"/>
        <v>0</v>
      </c>
      <c r="N37" s="123">
        <f t="shared" si="5"/>
        <v>0</v>
      </c>
    </row>
    <row r="38" spans="3:17" x14ac:dyDescent="0.2">
      <c r="C38" s="126"/>
      <c r="J38" s="118"/>
      <c r="K38" s="118"/>
      <c r="L38" s="118"/>
      <c r="M38" s="118"/>
      <c r="N38" s="118"/>
    </row>
    <row r="39" spans="3:17" x14ac:dyDescent="0.2">
      <c r="C39" s="126" t="str">
        <f>'Opening Balance Sheet'!C39</f>
        <v>Total Liabilities</v>
      </c>
      <c r="G39" s="101" t="str">
        <f>Currency</f>
        <v>US$'000</v>
      </c>
      <c r="H39" s="101"/>
      <c r="J39" s="123">
        <f>J32+J37</f>
        <v>29.589041095890408</v>
      </c>
      <c r="K39" s="123">
        <f t="shared" ref="K39:N39" si="6">K32+K37</f>
        <v>33.139726027397266</v>
      </c>
      <c r="L39" s="123">
        <f t="shared" si="6"/>
        <v>36.453698630136991</v>
      </c>
      <c r="M39" s="123">
        <f t="shared" si="6"/>
        <v>39.262426229508222</v>
      </c>
      <c r="N39" s="123">
        <f t="shared" si="6"/>
        <v>41.338494246575365</v>
      </c>
    </row>
    <row r="40" spans="3:17" x14ac:dyDescent="0.2">
      <c r="C40" s="126"/>
      <c r="J40" s="118"/>
      <c r="K40" s="118"/>
      <c r="L40" s="118"/>
      <c r="M40" s="118"/>
      <c r="N40" s="118"/>
    </row>
    <row r="41" spans="3:17" ht="12.75" thickBot="1" x14ac:dyDescent="0.25">
      <c r="C41" s="126" t="str">
        <f>'Opening Balance Sheet'!C41</f>
        <v>Net Assets</v>
      </c>
      <c r="G41" s="101" t="str">
        <f>Currency</f>
        <v>US$'000</v>
      </c>
      <c r="H41" s="101"/>
      <c r="J41" s="130">
        <f>J24-J39</f>
        <v>280</v>
      </c>
      <c r="K41" s="130">
        <f>K24-K39</f>
        <v>593.59999999999991</v>
      </c>
      <c r="L41" s="130">
        <f>L24-L39</f>
        <v>938.56000000000006</v>
      </c>
      <c r="M41" s="130">
        <f>M24-M39</f>
        <v>1311.1168000000002</v>
      </c>
      <c r="N41" s="130">
        <f>N24-N39</f>
        <v>1702.3014400000004</v>
      </c>
    </row>
    <row r="42" spans="3:17" ht="12.75" thickTop="1" x14ac:dyDescent="0.2">
      <c r="C42" s="126"/>
      <c r="J42" s="118"/>
      <c r="K42" s="118"/>
      <c r="L42" s="118"/>
      <c r="M42" s="118"/>
      <c r="N42" s="118"/>
    </row>
    <row r="43" spans="3:17" x14ac:dyDescent="0.2">
      <c r="C43" s="126"/>
      <c r="J43" s="118"/>
      <c r="K43" s="118"/>
      <c r="L43" s="118"/>
      <c r="M43" s="118"/>
      <c r="N43" s="118"/>
    </row>
    <row r="44" spans="3:17" x14ac:dyDescent="0.2">
      <c r="C44" s="126" t="str">
        <f>'Opening Balance Sheet'!C44</f>
        <v xml:space="preserve">Equity </v>
      </c>
      <c r="J44" s="118"/>
      <c r="K44" s="118"/>
      <c r="L44" s="118"/>
      <c r="M44" s="118"/>
      <c r="N44" s="118"/>
    </row>
    <row r="45" spans="3:17" x14ac:dyDescent="0.2">
      <c r="C45" s="126"/>
      <c r="D45" s="90" t="str">
        <f>'Opening Balance Sheet'!D45</f>
        <v>Ordinary Equity</v>
      </c>
      <c r="G45" s="101" t="str">
        <f t="shared" ref="G45:G50" si="7">Currency</f>
        <v>US$'000</v>
      </c>
      <c r="H45" s="101"/>
      <c r="J45" s="118"/>
      <c r="K45" s="118"/>
      <c r="L45" s="118"/>
      <c r="M45" s="118"/>
      <c r="N45" s="118"/>
    </row>
    <row r="46" spans="3:17" x14ac:dyDescent="0.2">
      <c r="C46" s="126"/>
      <c r="E46" s="90" t="s">
        <v>204</v>
      </c>
      <c r="G46" s="101" t="str">
        <f t="shared" si="7"/>
        <v>US$'000</v>
      </c>
      <c r="H46" s="101"/>
      <c r="J46" s="118">
        <f>IF(J$9=1,'Opening Balance Sheet'!$I$49,I49)</f>
        <v>0</v>
      </c>
      <c r="K46" s="118">
        <f>IF(K$9=1,'Opening Balance Sheet'!$I$49,J49)</f>
        <v>280</v>
      </c>
      <c r="L46" s="118">
        <f>IF(L$9=1,'Opening Balance Sheet'!$I$49,K49)</f>
        <v>593.6</v>
      </c>
      <c r="M46" s="118">
        <f>IF(M$9=1,'Opening Balance Sheet'!$I$49,L49)</f>
        <v>938.56000000000017</v>
      </c>
      <c r="N46" s="118">
        <f>IF(N$9=1,'Opening Balance Sheet'!$I$49,M49)</f>
        <v>1311.1168000000002</v>
      </c>
    </row>
    <row r="47" spans="3:17" x14ac:dyDescent="0.2">
      <c r="C47" s="126"/>
      <c r="E47" s="90" t="str">
        <f>'Opening Balance Sheet'!E47</f>
        <v>NPAT</v>
      </c>
      <c r="G47" s="101" t="str">
        <f t="shared" si="7"/>
        <v>US$'000</v>
      </c>
      <c r="H47" s="101"/>
      <c r="J47" s="118">
        <f>'Income Statement'!J27</f>
        <v>280</v>
      </c>
      <c r="K47" s="118">
        <f>'Income Statement'!K27</f>
        <v>313.60000000000002</v>
      </c>
      <c r="L47" s="118">
        <f>'Income Statement'!L27</f>
        <v>344.96000000000009</v>
      </c>
      <c r="M47" s="118">
        <f>'Income Statement'!M27</f>
        <v>372.55680000000007</v>
      </c>
      <c r="N47" s="118">
        <f>'Income Statement'!N27</f>
        <v>391.18464000000012</v>
      </c>
      <c r="Q47" s="101"/>
    </row>
    <row r="48" spans="3:17" x14ac:dyDescent="0.2">
      <c r="C48" s="126"/>
      <c r="E48" s="90" t="str">
        <f>'Opening Balance Sheet'!E48</f>
        <v xml:space="preserve">Dividends Declared </v>
      </c>
      <c r="G48" s="101" t="str">
        <f t="shared" si="7"/>
        <v>US$'000</v>
      </c>
      <c r="H48" s="101"/>
      <c r="J48" s="118"/>
      <c r="K48" s="118"/>
      <c r="L48" s="118"/>
      <c r="M48" s="118"/>
      <c r="N48" s="118"/>
      <c r="Q48" s="101"/>
    </row>
    <row r="49" spans="3:17" x14ac:dyDescent="0.2">
      <c r="C49" s="126"/>
      <c r="D49" s="90" t="str">
        <f>'Opening Balance Sheet'!D49</f>
        <v>Retained Profits</v>
      </c>
      <c r="G49" s="101" t="str">
        <f t="shared" si="7"/>
        <v>US$'000</v>
      </c>
      <c r="H49" s="101"/>
      <c r="J49" s="121">
        <f>SUM(J46:J48)</f>
        <v>280</v>
      </c>
      <c r="K49" s="121">
        <f>SUM(K46:K48)</f>
        <v>593.6</v>
      </c>
      <c r="L49" s="121">
        <f t="shared" ref="L49:N49" si="8">SUM(L46:L48)</f>
        <v>938.56000000000017</v>
      </c>
      <c r="M49" s="121">
        <f t="shared" si="8"/>
        <v>1311.1168000000002</v>
      </c>
      <c r="N49" s="121">
        <f t="shared" si="8"/>
        <v>1702.3014400000004</v>
      </c>
      <c r="Q49" s="101"/>
    </row>
    <row r="50" spans="3:17" ht="12.75" thickBot="1" x14ac:dyDescent="0.25">
      <c r="C50" s="66" t="str">
        <f>'Opening Balance Sheet'!C50</f>
        <v xml:space="preserve">Total Equity </v>
      </c>
      <c r="D50" s="66"/>
      <c r="G50" s="101" t="str">
        <f t="shared" si="7"/>
        <v>US$'000</v>
      </c>
      <c r="H50" s="101"/>
      <c r="J50" s="130">
        <f>J45+J49</f>
        <v>280</v>
      </c>
      <c r="K50" s="130">
        <f t="shared" ref="K50:N50" si="9">K45+K49</f>
        <v>593.6</v>
      </c>
      <c r="L50" s="130">
        <f t="shared" si="9"/>
        <v>938.56000000000017</v>
      </c>
      <c r="M50" s="130">
        <f t="shared" si="9"/>
        <v>1311.1168000000002</v>
      </c>
      <c r="N50" s="130">
        <f t="shared" si="9"/>
        <v>1702.3014400000004</v>
      </c>
    </row>
    <row r="51" spans="3:17" ht="12.75" thickTop="1" x14ac:dyDescent="0.2">
      <c r="C51" s="126"/>
    </row>
    <row r="52" spans="3:17" x14ac:dyDescent="0.2">
      <c r="C52" s="126"/>
    </row>
    <row r="53" spans="3:17" x14ac:dyDescent="0.2">
      <c r="C53" s="126" t="str">
        <f>'Opening Balance Sheet'!C53</f>
        <v>Checks</v>
      </c>
    </row>
    <row r="54" spans="3:17" x14ac:dyDescent="0.2">
      <c r="C54" s="126"/>
    </row>
    <row r="55" spans="3:17" x14ac:dyDescent="0.2">
      <c r="C55" s="126"/>
      <c r="D55" s="90" t="str">
        <f>'Opening Balance Sheet'!D55</f>
        <v>PF Error Check</v>
      </c>
      <c r="G55" s="101" t="str">
        <f>Boolean</f>
        <v>[1,0]</v>
      </c>
      <c r="H55" s="101"/>
      <c r="I55" s="94">
        <f>MIN(SUM($J55:$N55),1)</f>
        <v>0</v>
      </c>
      <c r="J55" s="127">
        <f>IF(ISERROR(J41-J50),1,0)</f>
        <v>0</v>
      </c>
      <c r="K55" s="127">
        <f>IF(ISERROR(K41-K50),1,0)</f>
        <v>0</v>
      </c>
      <c r="L55" s="127">
        <f>IF(ISERROR(L41-L50),1,0)</f>
        <v>0</v>
      </c>
      <c r="M55" s="127">
        <f>IF(ISERROR(M41-M50),1,0)</f>
        <v>0</v>
      </c>
      <c r="N55" s="127">
        <f>IF(ISERROR(N41-N50),1,0)</f>
        <v>0</v>
      </c>
    </row>
    <row r="56" spans="3:17" x14ac:dyDescent="0.2">
      <c r="C56" s="126"/>
      <c r="D56" s="90" t="str">
        <f>'Opening Balance Sheet'!D56</f>
        <v>Balance Check</v>
      </c>
      <c r="G56" s="101" t="str">
        <f>Boolean</f>
        <v>[1,0]</v>
      </c>
      <c r="H56" s="101"/>
      <c r="I56" s="94">
        <f>MIN(SUM($J56:$N56),1)</f>
        <v>0</v>
      </c>
      <c r="J56" s="127">
        <f>IF(J55&lt;&gt;0,0,(ROUND(J41-J50,Rounding_Accuracy)&lt;&gt;0)*1)</f>
        <v>0</v>
      </c>
      <c r="K56" s="127">
        <f>IF(K55&lt;&gt;0,0,(ROUND(K41-K50,Rounding_Accuracy)&lt;&gt;0)*1)</f>
        <v>0</v>
      </c>
      <c r="L56" s="127">
        <f>IF(L55&lt;&gt;0,0,(ROUND(L41-L50,Rounding_Accuracy)&lt;&gt;0)*1)</f>
        <v>0</v>
      </c>
      <c r="M56" s="127">
        <f>IF(M55&lt;&gt;0,0,(ROUND(M41-M50,Rounding_Accuracy)&lt;&gt;0)*1)</f>
        <v>0</v>
      </c>
      <c r="N56" s="127">
        <f>IF(N55&lt;&gt;0,0,(ROUND(N41-N50,Rounding_Accuracy)&lt;&gt;0)*1)</f>
        <v>0</v>
      </c>
    </row>
    <row r="57" spans="3:17" x14ac:dyDescent="0.2">
      <c r="D57" s="90" t="str">
        <f>'Opening Balance Sheet'!D57</f>
        <v>Insolvency Check</v>
      </c>
      <c r="G57" s="101" t="str">
        <f>Boolean</f>
        <v>[1,0]</v>
      </c>
      <c r="H57" s="101"/>
      <c r="I57" s="94">
        <f>MIN(SUM($J57:$N57),1)</f>
        <v>0</v>
      </c>
      <c r="J57" s="127">
        <f>IF(AND(J55=0,J56=0),(J41&lt;0)*1,0)</f>
        <v>0</v>
      </c>
      <c r="K57" s="127">
        <f t="shared" ref="K57:N57" si="10">IF(AND(K55=0,K56=0),(K41&lt;0)*1,0)</f>
        <v>0</v>
      </c>
      <c r="L57" s="127">
        <f t="shared" si="10"/>
        <v>0</v>
      </c>
      <c r="M57" s="127">
        <f t="shared" si="10"/>
        <v>0</v>
      </c>
      <c r="N57" s="127">
        <f t="shared" si="10"/>
        <v>0</v>
      </c>
    </row>
    <row r="58" spans="3:17" x14ac:dyDescent="0.2">
      <c r="H58" s="128"/>
      <c r="I58" s="128"/>
      <c r="J58" s="128"/>
      <c r="K58" s="128"/>
    </row>
  </sheetData>
  <conditionalFormatting sqref="G10 G4">
    <cfRule type="cellIs" dxfId="8" priority="2" operator="notEqual">
      <formula>0</formula>
    </cfRule>
  </conditionalFormatting>
  <conditionalFormatting sqref="I55:N57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G4" location="Overall_Error_Check" tooltip="Go to Overall Error Check" display="Overall_Error_Check" xr:uid="{00000000-0004-0000-08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48</vt:i4>
      </vt:variant>
    </vt:vector>
  </HeadingPairs>
  <TitlesOfParts>
    <vt:vector size="62" baseType="lpstr">
      <vt:lpstr>Cover</vt:lpstr>
      <vt:lpstr>Navigator</vt:lpstr>
      <vt:lpstr>Style Guide</vt:lpstr>
      <vt:lpstr>Model Parameters</vt:lpstr>
      <vt:lpstr>General Assumptions</vt:lpstr>
      <vt:lpstr>Calculations</vt:lpstr>
      <vt:lpstr>Opening Balance Sheet</vt:lpstr>
      <vt:lpstr>Income Statement</vt:lpstr>
      <vt:lpstr>Balance Sheet</vt:lpstr>
      <vt:lpstr>Cash Flow Statement</vt:lpstr>
      <vt:lpstr>Error Checks</vt:lpstr>
      <vt:lpstr>Timing</vt:lpstr>
      <vt:lpstr>Lookup</vt:lpstr>
      <vt:lpstr>Change Log</vt:lpstr>
      <vt:lpstr>Balance_Sheet</vt:lpstr>
      <vt:lpstr>Boolean</vt:lpstr>
      <vt:lpstr>Cash_Flow_Statement</vt:lpstr>
      <vt:lpstr>Client_Name</vt:lpstr>
      <vt:lpstr>Currency</vt:lpstr>
      <vt:lpstr>Days_in_Yr</vt:lpstr>
      <vt:lpstr>Example_Reporting_Month</vt:lpstr>
      <vt:lpstr>HL_1</vt:lpstr>
      <vt:lpstr>HL_10</vt:lpstr>
      <vt:lpstr>HL_11</vt:lpstr>
      <vt:lpstr>HL_12</vt:lpstr>
      <vt:lpstr>HL_13</vt:lpstr>
      <vt:lpstr>HL_14</vt:lpstr>
      <vt:lpstr>HL_2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Multiplier</vt:lpstr>
      <vt:lpstr>No_of_Days</vt:lpstr>
      <vt:lpstr>No_of_Years</vt:lpstr>
      <vt:lpstr>Overall_Error_Check</vt:lpstr>
      <vt:lpstr>Percentage</vt:lpstr>
      <vt:lpstr>Periodicity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Year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2016-01-20T05:12:08Z</cp:lastPrinted>
  <dcterms:created xsi:type="dcterms:W3CDTF">2012-10-20T20:39:47Z</dcterms:created>
  <dcterms:modified xsi:type="dcterms:W3CDTF">2018-07-04T03:51:02Z</dcterms:modified>
</cp:coreProperties>
</file>