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Tim Heng\Dropbox\SumProduct\Training\Financial Modelling Book 2\Final screenshots and files\Chapter 07 - Valuations\"/>
    </mc:Choice>
  </mc:AlternateContent>
  <xr:revisionPtr revIDLastSave="0" documentId="13_ncr:1_{6B99D5BD-B5E8-4296-8749-44B3B3CC2FE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Cover" sheetId="1" r:id="rId1"/>
    <sheet name="Navigator" sheetId="3" r:id="rId2"/>
    <sheet name="Style Guide" sheetId="4" r:id="rId3"/>
    <sheet name="Model Parameters" sheetId="2" r:id="rId4"/>
    <sheet name="Capex Smoothing" sheetId="10" r:id="rId5"/>
    <sheet name="Timing" sheetId="6" r:id="rId6"/>
    <sheet name="Lookup Data" sheetId="11" r:id="rId7"/>
    <sheet name="Error Checks" sheetId="5" r:id="rId8"/>
  </sheets>
  <externalReferences>
    <externalReference r:id="rId9"/>
  </externalReferences>
  <definedNames>
    <definedName name="Base_Exponent">'Capex Smoothing'!$I$64</definedName>
    <definedName name="Capex_Profile">'Capex Smoothing'!$J$21:$AM$21</definedName>
    <definedName name="Cashflow_Timing">'Capex Smoothing'!$I$19</definedName>
    <definedName name="Client_Name">'Model Parameters'!$G$12</definedName>
    <definedName name="Days_in_Year">'Model Parameters'!$G$19</definedName>
    <definedName name="Discount_Rate">'Capex Smoothing'!$I$15</definedName>
    <definedName name="End">'Lookup Data'!$F$13</definedName>
    <definedName name="Example_Reporting_Month">Timing!$H$19</definedName>
    <definedName name="Final_Period">'Capex Smoothing'!$I$25</definedName>
    <definedName name="Growth_Rate">'Capex Smoothing'!$I$17</definedName>
    <definedName name="HL_1">Cover!$A$3</definedName>
    <definedName name="HL_3">'Style Guide'!$A$3</definedName>
    <definedName name="HL_4">'Model Parameters'!$A$3</definedName>
    <definedName name="HL_5">'Capex Smoothing'!$A$3</definedName>
    <definedName name="HL_6">Timing!$A$3</definedName>
    <definedName name="HL_7">'Lookup Data'!$A$3</definedName>
    <definedName name="HL_8">'Error Checks'!$A$3</definedName>
    <definedName name="HL_Model_Parameters">'Model Parameters'!$A$5</definedName>
    <definedName name="HL_Navigator">Navigator!$A$1</definedName>
    <definedName name="HL_NPVs_Reconcile">'Capex Smoothing'!$H$77</definedName>
    <definedName name="LU_Cash_Flow_Timing">'Lookup Data'!$F$11:$F$13</definedName>
    <definedName name="LU_Cash_Flow_Timing_Factors">'Lookup Data'!$F$21:$F$23</definedName>
    <definedName name="LU_Counter">'Capex Smoothing'!$J$9:$AM$9</definedName>
    <definedName name="Middle">'Lookup Data'!$F$12</definedName>
    <definedName name="Model_Name">'Model Parameters'!$G$11</definedName>
    <definedName name="Model_Start_Date">Timing!$H$15</definedName>
    <definedName name="Months_in_Half_Yr">'Model Parameters'!$G$22</definedName>
    <definedName name="Months_in_Month">'Model Parameters'!$G$20</definedName>
    <definedName name="Months_in_Quarter">'Model Parameters'!$G$21</definedName>
    <definedName name="Months_in_Year">'Model Parameters'!$G$23</definedName>
    <definedName name="NPV_of_Original_Capex_Profile">'Capex Smoothing'!$I$55</definedName>
    <definedName name="NPV_of_Smoothed_Capex_Profile">'Capex Smoothing'!$I$77</definedName>
    <definedName name="Number_of_Periods">'Capex Smoothing'!$I$27</definedName>
    <definedName name="Overall_Error_Check">'Error Checks'!$I$17</definedName>
    <definedName name="Periodicity">Timing!$H$17</definedName>
    <definedName name="Pre_Tax_WACC">'Capex Smoothing'!$G$93</definedName>
    <definedName name="Quarters_in_Year">'Model Parameters'!$G$24</definedName>
    <definedName name="Reporting_Month_Factor">Timing!$H$21</definedName>
    <definedName name="Rounding_Accuracy">'Model Parameters'!$G$26</definedName>
    <definedName name="Start">'Lookup Data'!$F$11</definedName>
    <definedName name="Start_Period">'Capex Smoothing'!$I$23</definedName>
    <definedName name="Terminal_Value_Switch">'Capex Smoothing'!$G$24</definedName>
    <definedName name="Thousand">'Model Parameters'!$G$31</definedName>
    <definedName name="Timing_Factor">'Capex Smoothing'!$I$67</definedName>
    <definedName name="Timing_of_CashFlows">'Capex Smoothing'!$G$35</definedName>
    <definedName name="Very_Large_Number">'Model Parameters'!$G$28</definedName>
    <definedName name="Very_Small_Number">'Model Parameters'!$G$29</definedName>
    <definedName name="Yes">'[1]Lookup Data'!$F$25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64" i="10" l="1"/>
  <c r="I23" i="10"/>
  <c r="J49" i="10"/>
  <c r="K49" i="10"/>
  <c r="L49" i="10"/>
  <c r="H15" i="6"/>
  <c r="H67" i="10"/>
  <c r="I67" i="10" s="1"/>
  <c r="F20" i="11"/>
  <c r="C18" i="11"/>
  <c r="H21" i="11" s="1"/>
  <c r="G67" i="10"/>
  <c r="E67" i="10"/>
  <c r="C60" i="10"/>
  <c r="E77" i="10"/>
  <c r="D62" i="10"/>
  <c r="E55" i="10"/>
  <c r="AA49" i="10"/>
  <c r="AM49" i="10"/>
  <c r="D47" i="10"/>
  <c r="E40" i="10"/>
  <c r="E39" i="10"/>
  <c r="E38" i="10"/>
  <c r="E37" i="10"/>
  <c r="D34" i="10"/>
  <c r="F10" i="11" l="1"/>
  <c r="C8" i="11"/>
  <c r="H11" i="11" s="1"/>
  <c r="B6" i="11"/>
  <c r="B16" i="11" s="1"/>
  <c r="A1" i="11"/>
  <c r="C7" i="10"/>
  <c r="C8" i="10"/>
  <c r="C9" i="10"/>
  <c r="C6" i="10"/>
  <c r="B11" i="10"/>
  <c r="A1" i="10"/>
  <c r="B30" i="10" l="1"/>
  <c r="B43" i="10" s="1"/>
  <c r="AH49" i="10"/>
  <c r="U49" i="10"/>
  <c r="T49" i="10"/>
  <c r="P49" i="10"/>
  <c r="AB49" i="10"/>
  <c r="O49" i="10"/>
  <c r="Z49" i="10"/>
  <c r="N49" i="10"/>
  <c r="AL49" i="10"/>
  <c r="Y49" i="10"/>
  <c r="X49" i="10"/>
  <c r="AJ49" i="10"/>
  <c r="W49" i="10"/>
  <c r="AG49" i="10"/>
  <c r="AC49" i="10"/>
  <c r="AK49" i="10"/>
  <c r="AI49" i="10"/>
  <c r="V49" i="10"/>
  <c r="AF49" i="10"/>
  <c r="S49" i="10"/>
  <c r="AE49" i="10"/>
  <c r="R49" i="10"/>
  <c r="AD49" i="10"/>
  <c r="Q49" i="10"/>
  <c r="M49" i="10"/>
  <c r="B58" i="10" l="1"/>
  <c r="J9" i="6"/>
  <c r="H21" i="6"/>
  <c r="K9" i="6" l="1"/>
  <c r="J9" i="10"/>
  <c r="I19" i="6"/>
  <c r="J6" i="6"/>
  <c r="L9" i="6" l="1"/>
  <c r="K9" i="10"/>
  <c r="J7" i="6"/>
  <c r="J7" i="10" s="1"/>
  <c r="J6" i="10"/>
  <c r="M9" i="6" l="1"/>
  <c r="L9" i="10"/>
  <c r="K6" i="6"/>
  <c r="J5" i="6"/>
  <c r="J5" i="10" s="1"/>
  <c r="M9" i="10" l="1"/>
  <c r="N9" i="6"/>
  <c r="K7" i="6"/>
  <c r="L6" i="6" s="1"/>
  <c r="K6" i="10"/>
  <c r="O9" i="6" l="1"/>
  <c r="N9" i="10"/>
  <c r="L7" i="6"/>
  <c r="M6" i="6" s="1"/>
  <c r="L6" i="10"/>
  <c r="K5" i="6"/>
  <c r="K5" i="10" s="1"/>
  <c r="K7" i="10"/>
  <c r="P9" i="6" l="1"/>
  <c r="O9" i="10"/>
  <c r="M7" i="6"/>
  <c r="N6" i="6" s="1"/>
  <c r="M6" i="10"/>
  <c r="L5" i="6"/>
  <c r="L5" i="10" s="1"/>
  <c r="L7" i="10"/>
  <c r="B11" i="6"/>
  <c r="A1" i="6"/>
  <c r="Q9" i="6" l="1"/>
  <c r="P9" i="10"/>
  <c r="N7" i="6"/>
  <c r="O6" i="6" s="1"/>
  <c r="N6" i="10"/>
  <c r="M5" i="6"/>
  <c r="M5" i="10" s="1"/>
  <c r="M7" i="10"/>
  <c r="A1" i="5"/>
  <c r="R9" i="6" l="1"/>
  <c r="Q9" i="10"/>
  <c r="O7" i="6"/>
  <c r="P6" i="6" s="1"/>
  <c r="O6" i="10"/>
  <c r="N5" i="6"/>
  <c r="N5" i="10" s="1"/>
  <c r="N7" i="10"/>
  <c r="I37" i="4"/>
  <c r="S9" i="6" l="1"/>
  <c r="R9" i="10"/>
  <c r="O8" i="6"/>
  <c r="O8" i="10" s="1"/>
  <c r="P7" i="6"/>
  <c r="Q6" i="6" s="1"/>
  <c r="P6" i="10"/>
  <c r="O5" i="6"/>
  <c r="O5" i="10" s="1"/>
  <c r="O7" i="10"/>
  <c r="A1" i="2"/>
  <c r="E17" i="5"/>
  <c r="B6" i="5"/>
  <c r="A1" i="4"/>
  <c r="K74" i="4"/>
  <c r="K72" i="4"/>
  <c r="K70" i="4"/>
  <c r="I70" i="4"/>
  <c r="K68" i="4"/>
  <c r="I68" i="4"/>
  <c r="K66" i="4"/>
  <c r="K64" i="4"/>
  <c r="K62" i="4"/>
  <c r="K60" i="4"/>
  <c r="K53" i="4"/>
  <c r="K51" i="4"/>
  <c r="K49" i="4"/>
  <c r="I47" i="4"/>
  <c r="K45" i="4"/>
  <c r="K43" i="4"/>
  <c r="K41" i="4"/>
  <c r="I41" i="4"/>
  <c r="I49" i="4" s="1"/>
  <c r="K37" i="4"/>
  <c r="K35" i="4"/>
  <c r="K33" i="4"/>
  <c r="K31" i="4"/>
  <c r="K29" i="4"/>
  <c r="I29" i="4"/>
  <c r="K27" i="4"/>
  <c r="I20" i="4"/>
  <c r="I18" i="4"/>
  <c r="I16" i="4"/>
  <c r="I15" i="4"/>
  <c r="I14" i="4"/>
  <c r="I13" i="4"/>
  <c r="I11" i="4"/>
  <c r="I10" i="4"/>
  <c r="B6" i="4"/>
  <c r="B23" i="4" s="1"/>
  <c r="C5" i="1"/>
  <c r="G11" i="2"/>
  <c r="B6" i="2"/>
  <c r="B15" i="2" s="1"/>
  <c r="S9" i="10" l="1"/>
  <c r="T9" i="6"/>
  <c r="A2" i="10"/>
  <c r="A2" i="11"/>
  <c r="P8" i="6"/>
  <c r="P8" i="10" s="1"/>
  <c r="Q7" i="6"/>
  <c r="Q8" i="6" s="1"/>
  <c r="Q8" i="10" s="1"/>
  <c r="Q6" i="10"/>
  <c r="P5" i="6"/>
  <c r="P5" i="10" s="1"/>
  <c r="P7" i="10"/>
  <c r="A2" i="6"/>
  <c r="A2" i="2"/>
  <c r="A2" i="5"/>
  <c r="B56" i="4"/>
  <c r="A2" i="4"/>
  <c r="A2" i="3"/>
  <c r="C6" i="1"/>
  <c r="J8" i="6"/>
  <c r="J8" i="10" s="1"/>
  <c r="K8" i="6"/>
  <c r="K8" i="10" s="1"/>
  <c r="L8" i="6"/>
  <c r="L8" i="10" s="1"/>
  <c r="M8" i="6"/>
  <c r="M8" i="10" s="1"/>
  <c r="N8" i="6"/>
  <c r="N8" i="10" s="1"/>
  <c r="T9" i="10" l="1"/>
  <c r="U9" i="6"/>
  <c r="R6" i="6"/>
  <c r="Q5" i="6"/>
  <c r="Q5" i="10" s="1"/>
  <c r="Q7" i="10"/>
  <c r="U9" i="10" l="1"/>
  <c r="V9" i="6"/>
  <c r="R7" i="6"/>
  <c r="R6" i="10"/>
  <c r="V9" i="10" l="1"/>
  <c r="W9" i="6"/>
  <c r="R8" i="6"/>
  <c r="R8" i="10" s="1"/>
  <c r="R7" i="10"/>
  <c r="R5" i="6"/>
  <c r="R5" i="10" s="1"/>
  <c r="S6" i="6"/>
  <c r="W9" i="10" l="1"/>
  <c r="X9" i="6"/>
  <c r="S7" i="6"/>
  <c r="S6" i="10"/>
  <c r="X9" i="10" l="1"/>
  <c r="Y9" i="6"/>
  <c r="S8" i="6"/>
  <c r="S8" i="10" s="1"/>
  <c r="S7" i="10"/>
  <c r="S5" i="6"/>
  <c r="S5" i="10" s="1"/>
  <c r="T6" i="6"/>
  <c r="Y9" i="10" l="1"/>
  <c r="Z9" i="6"/>
  <c r="T7" i="6"/>
  <c r="T6" i="10"/>
  <c r="Z9" i="10" l="1"/>
  <c r="AA9" i="6"/>
  <c r="T8" i="6"/>
  <c r="T8" i="10" s="1"/>
  <c r="T7" i="10"/>
  <c r="T5" i="6"/>
  <c r="T5" i="10" s="1"/>
  <c r="U6" i="6"/>
  <c r="AA9" i="10" l="1"/>
  <c r="AB9" i="6"/>
  <c r="U7" i="6"/>
  <c r="U6" i="10"/>
  <c r="AB9" i="10" l="1"/>
  <c r="AC9" i="6"/>
  <c r="U8" i="6"/>
  <c r="U8" i="10" s="1"/>
  <c r="U7" i="10"/>
  <c r="U5" i="6"/>
  <c r="U5" i="10" s="1"/>
  <c r="V6" i="6"/>
  <c r="AC9" i="10" l="1"/>
  <c r="AD9" i="6"/>
  <c r="V7" i="6"/>
  <c r="V6" i="10"/>
  <c r="AD9" i="10" l="1"/>
  <c r="AE9" i="6"/>
  <c r="V8" i="6"/>
  <c r="V8" i="10" s="1"/>
  <c r="V7" i="10"/>
  <c r="W6" i="6"/>
  <c r="V5" i="6"/>
  <c r="V5" i="10" s="1"/>
  <c r="AE9" i="10" l="1"/>
  <c r="AF9" i="6"/>
  <c r="W7" i="6"/>
  <c r="W6" i="10"/>
  <c r="AF9" i="10" l="1"/>
  <c r="AG9" i="6"/>
  <c r="W8" i="6"/>
  <c r="W8" i="10" s="1"/>
  <c r="W7" i="10"/>
  <c r="X6" i="6"/>
  <c r="W5" i="6"/>
  <c r="W5" i="10" s="1"/>
  <c r="AG9" i="10" l="1"/>
  <c r="AH9" i="6"/>
  <c r="X7" i="6"/>
  <c r="X6" i="10"/>
  <c r="AH9" i="10" l="1"/>
  <c r="AI9" i="6"/>
  <c r="X8" i="6"/>
  <c r="X8" i="10" s="1"/>
  <c r="X7" i="10"/>
  <c r="Y6" i="6"/>
  <c r="X5" i="6"/>
  <c r="X5" i="10" s="1"/>
  <c r="AI9" i="10" l="1"/>
  <c r="AJ9" i="6"/>
  <c r="Y7" i="6"/>
  <c r="Y6" i="10"/>
  <c r="AJ9" i="10" l="1"/>
  <c r="AK9" i="6"/>
  <c r="Y8" i="6"/>
  <c r="Y8" i="10" s="1"/>
  <c r="Y7" i="10"/>
  <c r="Z6" i="6"/>
  <c r="Y5" i="6"/>
  <c r="Y5" i="10" s="1"/>
  <c r="AK9" i="10" l="1"/>
  <c r="AL9" i="6"/>
  <c r="Z7" i="6"/>
  <c r="Z6" i="10"/>
  <c r="AL9" i="10" l="1"/>
  <c r="AM9" i="6"/>
  <c r="AM9" i="10" s="1"/>
  <c r="Z5" i="6"/>
  <c r="Z5" i="10" s="1"/>
  <c r="Z7" i="10"/>
  <c r="AA6" i="6"/>
  <c r="Z8" i="6"/>
  <c r="Z8" i="10" s="1"/>
  <c r="I25" i="10" l="1" a="1"/>
  <c r="I25" i="10" s="1"/>
  <c r="AM71" i="10" s="1"/>
  <c r="AA7" i="6"/>
  <c r="AA6" i="10"/>
  <c r="AM39" i="10" l="1"/>
  <c r="Z40" i="10"/>
  <c r="I27" i="10"/>
  <c r="J39" i="10"/>
  <c r="J37" i="10"/>
  <c r="J38" i="10"/>
  <c r="K37" i="10"/>
  <c r="K39" i="10"/>
  <c r="K38" i="10"/>
  <c r="L37" i="10"/>
  <c r="L38" i="10"/>
  <c r="L40" i="10" s="1"/>
  <c r="L39" i="10"/>
  <c r="M38" i="10"/>
  <c r="M37" i="10"/>
  <c r="M39" i="10"/>
  <c r="N38" i="10"/>
  <c r="N37" i="10"/>
  <c r="N39" i="10"/>
  <c r="O39" i="10"/>
  <c r="O37" i="10"/>
  <c r="O38" i="10"/>
  <c r="P39" i="10"/>
  <c r="P37" i="10"/>
  <c r="P38" i="10"/>
  <c r="P40" i="10" s="1"/>
  <c r="Q38" i="10"/>
  <c r="Q39" i="10"/>
  <c r="Q37" i="10"/>
  <c r="R37" i="10"/>
  <c r="R39" i="10"/>
  <c r="R38" i="10"/>
  <c r="S37" i="10"/>
  <c r="S38" i="10"/>
  <c r="O40" i="10"/>
  <c r="S39" i="10"/>
  <c r="K40" i="10"/>
  <c r="J40" i="10"/>
  <c r="M40" i="10"/>
  <c r="T38" i="10"/>
  <c r="Q40" i="10"/>
  <c r="T39" i="10"/>
  <c r="T37" i="10"/>
  <c r="N40" i="10"/>
  <c r="U39" i="10"/>
  <c r="U37" i="10"/>
  <c r="U38" i="10"/>
  <c r="V39" i="10"/>
  <c r="V38" i="10"/>
  <c r="V37" i="10"/>
  <c r="W37" i="10"/>
  <c r="W38" i="10"/>
  <c r="W39" i="10"/>
  <c r="R40" i="10"/>
  <c r="X37" i="10"/>
  <c r="X38" i="10"/>
  <c r="X39" i="10"/>
  <c r="S40" i="10"/>
  <c r="Y38" i="10"/>
  <c r="Y37" i="10"/>
  <c r="Y39" i="10"/>
  <c r="Z39" i="10"/>
  <c r="Z37" i="10"/>
  <c r="T40" i="10"/>
  <c r="Z38" i="10"/>
  <c r="AA39" i="10"/>
  <c r="AA38" i="10"/>
  <c r="AA37" i="10"/>
  <c r="AB37" i="10"/>
  <c r="AB38" i="10"/>
  <c r="U40" i="10"/>
  <c r="AB39" i="10"/>
  <c r="AC39" i="10"/>
  <c r="AC38" i="10"/>
  <c r="AC37" i="10"/>
  <c r="AD39" i="10"/>
  <c r="V40" i="10"/>
  <c r="AD37" i="10"/>
  <c r="AD38" i="10"/>
  <c r="AE38" i="10"/>
  <c r="AE37" i="10"/>
  <c r="AE39" i="10"/>
  <c r="AF38" i="10"/>
  <c r="AF37" i="10"/>
  <c r="W40" i="10"/>
  <c r="AF39" i="10"/>
  <c r="AG39" i="10"/>
  <c r="AG37" i="10"/>
  <c r="AG38" i="10"/>
  <c r="AH38" i="10"/>
  <c r="AH37" i="10"/>
  <c r="AH39" i="10"/>
  <c r="X40" i="10"/>
  <c r="AI37" i="10"/>
  <c r="AI39" i="10"/>
  <c r="AI38" i="10"/>
  <c r="AJ38" i="10"/>
  <c r="Y40" i="10"/>
  <c r="AJ37" i="10"/>
  <c r="AJ39" i="10"/>
  <c r="AK39" i="10"/>
  <c r="AK37" i="10"/>
  <c r="AK38" i="10"/>
  <c r="AL39" i="10"/>
  <c r="AL37" i="10"/>
  <c r="AL38" i="10"/>
  <c r="AM40" i="10"/>
  <c r="AM37" i="10"/>
  <c r="AM38" i="10"/>
  <c r="Z51" i="10"/>
  <c r="Z53" i="10" s="1"/>
  <c r="Z73" i="10"/>
  <c r="AA5" i="6"/>
  <c r="AA5" i="10" s="1"/>
  <c r="AA7" i="10"/>
  <c r="AA8" i="6"/>
  <c r="AA8" i="10" s="1"/>
  <c r="AB6" i="6"/>
  <c r="L73" i="10" l="1"/>
  <c r="L51" i="10"/>
  <c r="L53" i="10" s="1"/>
  <c r="P51" i="10"/>
  <c r="P53" i="10" s="1"/>
  <c r="P73" i="10"/>
  <c r="S51" i="10"/>
  <c r="S53" i="10" s="1"/>
  <c r="S73" i="10"/>
  <c r="O73" i="10"/>
  <c r="O51" i="10"/>
  <c r="O53" i="10" s="1"/>
  <c r="AM73" i="10"/>
  <c r="AM75" i="10" s="1"/>
  <c r="AM51" i="10"/>
  <c r="AM53" i="10" s="1"/>
  <c r="N51" i="10"/>
  <c r="N53" i="10" s="1"/>
  <c r="N73" i="10"/>
  <c r="K51" i="10"/>
  <c r="K53" i="10" s="1"/>
  <c r="K73" i="10"/>
  <c r="R51" i="10"/>
  <c r="R53" i="10" s="1"/>
  <c r="R73" i="10"/>
  <c r="V73" i="10"/>
  <c r="V51" i="10"/>
  <c r="V53" i="10" s="1"/>
  <c r="X51" i="10"/>
  <c r="X53" i="10" s="1"/>
  <c r="X73" i="10"/>
  <c r="Q51" i="10"/>
  <c r="Q53" i="10" s="1"/>
  <c r="Q73" i="10"/>
  <c r="U51" i="10"/>
  <c r="U53" i="10" s="1"/>
  <c r="U73" i="10"/>
  <c r="T51" i="10"/>
  <c r="T53" i="10" s="1"/>
  <c r="T73" i="10"/>
  <c r="Y51" i="10"/>
  <c r="Y53" i="10" s="1"/>
  <c r="Y73" i="10"/>
  <c r="M51" i="10"/>
  <c r="M53" i="10" s="1"/>
  <c r="M73" i="10"/>
  <c r="W51" i="10"/>
  <c r="W53" i="10" s="1"/>
  <c r="W73" i="10"/>
  <c r="J51" i="10"/>
  <c r="J53" i="10" s="1"/>
  <c r="J73" i="10"/>
  <c r="AA40" i="10"/>
  <c r="AB7" i="6"/>
  <c r="AB6" i="10"/>
  <c r="AA51" i="10" l="1"/>
  <c r="AA53" i="10" s="1"/>
  <c r="AA73" i="10"/>
  <c r="AB8" i="6"/>
  <c r="AB8" i="10" s="1"/>
  <c r="AB7" i="10"/>
  <c r="AC6" i="6"/>
  <c r="AB5" i="6"/>
  <c r="AB5" i="10" s="1"/>
  <c r="AB40" i="10" l="1"/>
  <c r="AC7" i="6"/>
  <c r="AC6" i="10"/>
  <c r="AB51" i="10" l="1"/>
  <c r="AB53" i="10" s="1"/>
  <c r="AB73" i="10"/>
  <c r="AC5" i="6"/>
  <c r="AC5" i="10" s="1"/>
  <c r="AC7" i="10"/>
  <c r="AD6" i="6"/>
  <c r="AC8" i="6"/>
  <c r="AC8" i="10" s="1"/>
  <c r="AC40" i="10" l="1"/>
  <c r="AD7" i="6"/>
  <c r="AD6" i="10"/>
  <c r="AC51" i="10" l="1"/>
  <c r="AC53" i="10" s="1"/>
  <c r="AC73" i="10"/>
  <c r="AD5" i="6"/>
  <c r="AD5" i="10" s="1"/>
  <c r="AD7" i="10"/>
  <c r="AE6" i="6"/>
  <c r="AD8" i="6"/>
  <c r="AD8" i="10" s="1"/>
  <c r="AD40" i="10" l="1"/>
  <c r="AE7" i="6"/>
  <c r="AE6" i="10"/>
  <c r="AD51" i="10" l="1"/>
  <c r="AD53" i="10" s="1"/>
  <c r="AD73" i="10"/>
  <c r="AE5" i="6"/>
  <c r="AE5" i="10" s="1"/>
  <c r="AE7" i="10"/>
  <c r="AE8" i="6"/>
  <c r="AE8" i="10" s="1"/>
  <c r="AF6" i="6"/>
  <c r="AE40" i="10" l="1"/>
  <c r="AF7" i="6"/>
  <c r="AF6" i="10"/>
  <c r="AE51" i="10" l="1"/>
  <c r="AE53" i="10" s="1"/>
  <c r="AE73" i="10"/>
  <c r="AF8" i="6"/>
  <c r="AF8" i="10" s="1"/>
  <c r="AF7" i="10"/>
  <c r="AF5" i="6"/>
  <c r="AF5" i="10" s="1"/>
  <c r="AG6" i="6"/>
  <c r="AF40" i="10" l="1"/>
  <c r="AG7" i="6"/>
  <c r="AG6" i="10"/>
  <c r="AF51" i="10" l="1"/>
  <c r="AF53" i="10" s="1"/>
  <c r="AF73" i="10"/>
  <c r="AG7" i="10"/>
  <c r="AG5" i="6"/>
  <c r="AG5" i="10" s="1"/>
  <c r="AG8" i="6"/>
  <c r="AG8" i="10" s="1"/>
  <c r="AH6" i="6"/>
  <c r="AG40" i="10" l="1"/>
  <c r="AH7" i="6"/>
  <c r="AH6" i="10"/>
  <c r="AG51" i="10" l="1"/>
  <c r="AG53" i="10" s="1"/>
  <c r="AG73" i="10"/>
  <c r="AH7" i="10"/>
  <c r="AH5" i="6"/>
  <c r="AH5" i="10" s="1"/>
  <c r="AI6" i="6"/>
  <c r="AH8" i="6"/>
  <c r="AH8" i="10" s="1"/>
  <c r="AH40" i="10" l="1"/>
  <c r="AI7" i="6"/>
  <c r="AI6" i="10"/>
  <c r="AH51" i="10" l="1"/>
  <c r="AH53" i="10" s="1"/>
  <c r="AH73" i="10"/>
  <c r="AI7" i="10"/>
  <c r="AJ6" i="6"/>
  <c r="AI5" i="6"/>
  <c r="AI5" i="10" s="1"/>
  <c r="AI8" i="6"/>
  <c r="AI8" i="10" s="1"/>
  <c r="AI40" i="10" l="1"/>
  <c r="AJ7" i="6"/>
  <c r="AJ7" i="10" s="1"/>
  <c r="AJ6" i="10"/>
  <c r="AI51" i="10" l="1"/>
  <c r="AI53" i="10" s="1"/>
  <c r="AI73" i="10"/>
  <c r="AJ8" i="6"/>
  <c r="AJ8" i="10" s="1"/>
  <c r="AK6" i="6"/>
  <c r="AJ5" i="6"/>
  <c r="AJ5" i="10" s="1"/>
  <c r="AJ40" i="10" l="1"/>
  <c r="AK7" i="6"/>
  <c r="AK6" i="10"/>
  <c r="AJ51" i="10" l="1"/>
  <c r="AJ53" i="10" s="1"/>
  <c r="AJ73" i="10"/>
  <c r="AK7" i="10"/>
  <c r="AK5" i="6"/>
  <c r="AK5" i="10" s="1"/>
  <c r="AL6" i="6"/>
  <c r="AK8" i="6"/>
  <c r="AK8" i="10" s="1"/>
  <c r="AK40" i="10" l="1"/>
  <c r="AL7" i="6"/>
  <c r="AL6" i="10"/>
  <c r="AK51" i="10" l="1"/>
  <c r="AK53" i="10" s="1"/>
  <c r="AK73" i="10"/>
  <c r="AL7" i="10"/>
  <c r="AL8" i="6"/>
  <c r="AL8" i="10" s="1"/>
  <c r="AM6" i="6"/>
  <c r="AL5" i="6"/>
  <c r="AL5" i="10" s="1"/>
  <c r="AL40" i="10" l="1"/>
  <c r="AM7" i="6"/>
  <c r="AM6" i="10"/>
  <c r="AL51" i="10" l="1"/>
  <c r="AL53" i="10" s="1"/>
  <c r="I55" i="10" s="1"/>
  <c r="I69" i="10" s="1"/>
  <c r="AL73" i="10"/>
  <c r="AM7" i="10"/>
  <c r="AM8" i="6"/>
  <c r="AM8" i="10" s="1"/>
  <c r="AM5" i="6"/>
  <c r="AM5" i="10" s="1"/>
  <c r="J71" i="10" l="1"/>
  <c r="K71" i="10" l="1"/>
  <c r="J75" i="10"/>
  <c r="L71" i="10" l="1"/>
  <c r="K75" i="10"/>
  <c r="L75" i="10" l="1"/>
  <c r="M71" i="10"/>
  <c r="M75" i="10" l="1"/>
  <c r="N71" i="10"/>
  <c r="O71" i="10" l="1"/>
  <c r="N75" i="10"/>
  <c r="O75" i="10" l="1"/>
  <c r="P71" i="10"/>
  <c r="P75" i="10" l="1"/>
  <c r="Q71" i="10"/>
  <c r="R71" i="10" l="1"/>
  <c r="Q75" i="10"/>
  <c r="S71" i="10" l="1"/>
  <c r="R75" i="10"/>
  <c r="S75" i="10" l="1"/>
  <c r="T71" i="10"/>
  <c r="U71" i="10" l="1"/>
  <c r="T75" i="10"/>
  <c r="V71" i="10" l="1"/>
  <c r="U75" i="10"/>
  <c r="V75" i="10" l="1"/>
  <c r="W71" i="10"/>
  <c r="W75" i="10" l="1"/>
  <c r="X71" i="10"/>
  <c r="Y71" i="10" l="1"/>
  <c r="X75" i="10"/>
  <c r="Y75" i="10" l="1"/>
  <c r="Z71" i="10"/>
  <c r="AA71" i="10" l="1"/>
  <c r="Z75" i="10"/>
  <c r="AB71" i="10" l="1"/>
  <c r="AA75" i="10"/>
  <c r="AC71" i="10" l="1"/>
  <c r="AB75" i="10"/>
  <c r="AC75" i="10" l="1"/>
  <c r="AD71" i="10"/>
  <c r="AE71" i="10" l="1"/>
  <c r="AD75" i="10"/>
  <c r="AE75" i="10" l="1"/>
  <c r="AF71" i="10"/>
  <c r="AF75" i="10" l="1"/>
  <c r="AG71" i="10"/>
  <c r="AG75" i="10" l="1"/>
  <c r="AH71" i="10"/>
  <c r="AI71" i="10" l="1"/>
  <c r="AH75" i="10"/>
  <c r="AI75" i="10" l="1"/>
  <c r="AJ71" i="10"/>
  <c r="AK71" i="10" l="1"/>
  <c r="AJ75" i="10"/>
  <c r="AL71" i="10" l="1"/>
  <c r="AL75" i="10" s="1"/>
  <c r="I77" i="10" s="1"/>
  <c r="H77" i="10" s="1"/>
  <c r="I12" i="5" s="1"/>
  <c r="I17" i="5" s="1"/>
  <c r="AK75" i="10"/>
  <c r="G4" i="3" l="1"/>
  <c r="I4" i="2"/>
  <c r="I4" i="4"/>
  <c r="G4" i="11"/>
  <c r="F4" i="5"/>
  <c r="F4" i="6"/>
  <c r="G4" i="10"/>
</calcChain>
</file>

<file path=xl/sharedStrings.xml><?xml version="1.0" encoding="utf-8"?>
<sst xmlns="http://schemas.openxmlformats.org/spreadsheetml/2006/main" count="172" uniqueCount="117">
  <si>
    <t>Model Parameters</t>
  </si>
  <si>
    <t>Navigator</t>
  </si>
  <si>
    <t>Error Checks:</t>
  </si>
  <si>
    <t>General</t>
  </si>
  <si>
    <t>Key Inputs</t>
  </si>
  <si>
    <t>Model Name</t>
  </si>
  <si>
    <t>Client Name</t>
  </si>
  <si>
    <t>General Range Names</t>
  </si>
  <si>
    <t>Technical Assumptions</t>
  </si>
  <si>
    <t>Days in Year</t>
  </si>
  <si>
    <t>Months in Month</t>
  </si>
  <si>
    <t>Months in Quarter</t>
  </si>
  <si>
    <t>Months in Half Yr</t>
  </si>
  <si>
    <t>Months in Year</t>
  </si>
  <si>
    <t>Quarters in Year</t>
  </si>
  <si>
    <t>Rounding Accuracy</t>
  </si>
  <si>
    <t>Very Large Number</t>
  </si>
  <si>
    <t>Very Small Number</t>
  </si>
  <si>
    <t>Thousand</t>
  </si>
  <si>
    <t>Primary Developer:  Liam Bastick</t>
  </si>
  <si>
    <t>General Cover Notes:</t>
  </si>
  <si>
    <t>Any queries, please e-mail:</t>
  </si>
  <si>
    <t>liam.bastick@sumproduct.com</t>
  </si>
  <si>
    <t>Website:</t>
  </si>
  <si>
    <t>www.sumproduct.com</t>
  </si>
  <si>
    <t>Table of Contents</t>
  </si>
  <si>
    <t>Cover</t>
  </si>
  <si>
    <t>Style Guide</t>
  </si>
  <si>
    <t>Formatting of Headers / Dividers</t>
  </si>
  <si>
    <t>Description</t>
  </si>
  <si>
    <t>Display</t>
  </si>
  <si>
    <t>Style Name</t>
  </si>
  <si>
    <t>Sheet Title</t>
  </si>
  <si>
    <t>Header 1</t>
  </si>
  <si>
    <t>Header 2</t>
  </si>
  <si>
    <t>Header 3</t>
  </si>
  <si>
    <t>Header 4</t>
  </si>
  <si>
    <t>Notes</t>
  </si>
  <si>
    <t>Table Heading</t>
  </si>
  <si>
    <t>Individual Cell Styles</t>
  </si>
  <si>
    <t>Assumption</t>
  </si>
  <si>
    <t>Constraint</t>
  </si>
  <si>
    <t>Empty</t>
  </si>
  <si>
    <t>Error Check</t>
  </si>
  <si>
    <t>Hyperlink</t>
  </si>
  <si>
    <t>Internal Reference</t>
  </si>
  <si>
    <t>Line Calculation</t>
  </si>
  <si>
    <t>Line Calc</t>
  </si>
  <si>
    <t>Line Total</t>
  </si>
  <si>
    <t>Parameter</t>
  </si>
  <si>
    <t>Range Name Description</t>
  </si>
  <si>
    <t>Not_Named</t>
  </si>
  <si>
    <t>Row Reference</t>
  </si>
  <si>
    <t>Row Ref</t>
  </si>
  <si>
    <t>Row Summary</t>
  </si>
  <si>
    <t>Units</t>
  </si>
  <si>
    <t>WIP</t>
  </si>
  <si>
    <t>Numerical Styles</t>
  </si>
  <si>
    <t>Comma</t>
  </si>
  <si>
    <t>Comma [0]</t>
  </si>
  <si>
    <t>Currency</t>
  </si>
  <si>
    <t>Currency [0]</t>
  </si>
  <si>
    <t>Date</t>
  </si>
  <si>
    <t>Date Heading</t>
  </si>
  <si>
    <t>Numbers 0</t>
  </si>
  <si>
    <t>Percent</t>
  </si>
  <si>
    <t>Error Checks</t>
  </si>
  <si>
    <t>Summary of Errors</t>
  </si>
  <si>
    <t>Assumptions</t>
  </si>
  <si>
    <t>A$</t>
  </si>
  <si>
    <t>Timing</t>
  </si>
  <si>
    <t>Start Date</t>
  </si>
  <si>
    <t>End Date</t>
  </si>
  <si>
    <t>Counter</t>
  </si>
  <si>
    <t>Number of Days</t>
  </si>
  <si>
    <t>Timing Assumptions</t>
  </si>
  <si>
    <t>Model Start Date</t>
  </si>
  <si>
    <t>Number of Months in a Full Period</t>
  </si>
  <si>
    <t>Example Reporting Month</t>
  </si>
  <si>
    <t>Reporting Month Factor</t>
  </si>
  <si>
    <t>Months per Year</t>
  </si>
  <si>
    <t>SumProduct Pty Limited</t>
  </si>
  <si>
    <t>Demonstrating how to calculate the "smoothed" capex for a particular profile.</t>
  </si>
  <si>
    <t>Input Section</t>
  </si>
  <si>
    <t>Discount Rate</t>
  </si>
  <si>
    <t>Growth Rate</t>
  </si>
  <si>
    <t>Cashflow Timing</t>
  </si>
  <si>
    <t>Capex</t>
  </si>
  <si>
    <t>Number of Periods</t>
  </si>
  <si>
    <t>%</t>
  </si>
  <si>
    <t>[0,0.5,1]</t>
  </si>
  <si>
    <t>$'000</t>
  </si>
  <si>
    <t>#</t>
  </si>
  <si>
    <t>Cash Flow Timing</t>
  </si>
  <si>
    <t>Start</t>
  </si>
  <si>
    <t>Middle</t>
  </si>
  <si>
    <t>End</t>
  </si>
  <si>
    <t>Start Period</t>
  </si>
  <si>
    <t>Final Period</t>
  </si>
  <si>
    <t>Discount Factor</t>
  </si>
  <si>
    <t>Calculations</t>
  </si>
  <si>
    <t>Pre-Tax Discount Rates</t>
  </si>
  <si>
    <t>Capex Smoothing</t>
  </si>
  <si>
    <t>Lookup Data</t>
  </si>
  <si>
    <t>Original Capex Profile</t>
  </si>
  <si>
    <t>NPV Demonstration</t>
  </si>
  <si>
    <t>Capex Profile</t>
  </si>
  <si>
    <t>0.000</t>
  </si>
  <si>
    <t>PV of Capex</t>
  </si>
  <si>
    <t>Smoothed Capex Profile</t>
  </si>
  <si>
    <t>Base Exponent</t>
  </si>
  <si>
    <t>Base Amount</t>
  </si>
  <si>
    <t>Period Part</t>
  </si>
  <si>
    <t>Factor</t>
  </si>
  <si>
    <t>Cash Flow Timing Factors</t>
  </si>
  <si>
    <t>NPV's reconcile</t>
  </si>
  <si>
    <t>Data (must be annual periodicity with full periods)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</si>
</sst>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2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ý&quot;;&quot;ý&quot;;&quot;þ&quot;"/>
    <numFmt numFmtId="165" formatCode="#,##0&quot;.&quot;"/>
    <numFmt numFmtId="166" formatCode="0.E+00"/>
    <numFmt numFmtId="167" formatCode=";;;"/>
    <numFmt numFmtId="168" formatCode="_(#,##0_);[Red]\(#,##0\);_(\-_);"/>
    <numFmt numFmtId="169" formatCode="_(&quot;$&quot;#,##0.0_);\(&quot;$&quot;#,##0.0\);_(&quot;-&quot;_)"/>
    <numFmt numFmtId="170" formatCode="_(#,##0.0_);\(#,##0.0\);_(&quot;-&quot;_)"/>
    <numFmt numFmtId="171" formatCode="&quot;Row &quot;###0"/>
    <numFmt numFmtId="172" formatCode="#,##0."/>
    <numFmt numFmtId="173" formatCode="_(#,##0_);\(#,##0\);_(\-_)"/>
    <numFmt numFmtId="174" formatCode="_(#,##0.00_);\(#,##0.00\);_(\-_._0_0_)"/>
    <numFmt numFmtId="175" formatCode="&quot;$&quot;* _(#,##0.00_);&quot;$&quot;* \(#,##0.00\);&quot;$&quot;* _(\-_._0_0_)"/>
    <numFmt numFmtId="176" formatCode="&quot;$&quot;* _(#,##0_);&quot;$&quot;* \(#,##0\);&quot;$&quot;* _(\-_)"/>
    <numFmt numFmtId="177" formatCode="[$-C09]dd\ mmm\ yy;@"/>
    <numFmt numFmtId="178" formatCode="mmm\ yy"/>
    <numFmt numFmtId="179" formatCode="[$-C09]d\ mmm\ yy;@"/>
    <numFmt numFmtId="180" formatCode="0.000"/>
    <numFmt numFmtId="181" formatCode="0.0"/>
  </numFmts>
  <fonts count="34" x14ac:knownFonts="1">
    <font>
      <sz val="9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Wingdings"/>
      <charset val="2"/>
    </font>
    <font>
      <i/>
      <sz val="11"/>
      <color theme="0" tint="-0.34998626667073579"/>
      <name val="Calibri"/>
      <family val="2"/>
      <scheme val="minor"/>
    </font>
    <font>
      <b/>
      <u/>
      <sz val="8"/>
      <color indexed="56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8"/>
      <name val="Arial"/>
      <family val="2"/>
    </font>
    <font>
      <sz val="10"/>
      <color theme="1"/>
      <name val="Calibri"/>
      <family val="2"/>
      <scheme val="minor"/>
    </font>
    <font>
      <b/>
      <sz val="10"/>
      <color theme="8" tint="-0.499984740745262"/>
      <name val="Calibri"/>
      <family val="2"/>
      <scheme val="minor"/>
    </font>
    <font>
      <sz val="10"/>
      <color theme="8" tint="-0.499984740745262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9"/>
      <color theme="0"/>
      <name val="Arial"/>
      <family val="2"/>
    </font>
    <font>
      <b/>
      <sz val="16"/>
      <color theme="8" tint="-0.499984740745262"/>
      <name val="Arial"/>
      <family val="2"/>
    </font>
    <font>
      <sz val="14"/>
      <color theme="8" tint="-0.499984740745262"/>
      <name val="Arial"/>
      <family val="2"/>
    </font>
    <font>
      <b/>
      <sz val="12"/>
      <color theme="0"/>
      <name val="Arial"/>
      <family val="2"/>
    </font>
    <font>
      <b/>
      <sz val="13"/>
      <color theme="8" tint="-0.499984740745262"/>
      <name val="Arial"/>
      <family val="2"/>
    </font>
    <font>
      <b/>
      <sz val="11"/>
      <color theme="1"/>
      <name val="Arial"/>
      <family val="2"/>
    </font>
    <font>
      <b/>
      <sz val="11"/>
      <color theme="3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sz val="18"/>
      <color theme="3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9"/>
      <color theme="8" tint="-0.499984740745262"/>
      <name val="Arial"/>
      <family val="2"/>
    </font>
    <font>
      <sz val="9"/>
      <color theme="0" tint="-0.499984740745262"/>
      <name val="Arial"/>
      <family val="2"/>
    </font>
    <font>
      <b/>
      <u/>
      <sz val="9"/>
      <color theme="1"/>
      <name val="Arial"/>
      <family val="2"/>
    </font>
    <font>
      <sz val="9"/>
      <name val="Arial"/>
      <family val="2"/>
    </font>
    <font>
      <i/>
      <sz val="9"/>
      <color theme="8" tint="-0.499984740745262"/>
      <name val="Arial"/>
      <family val="2"/>
    </font>
    <font>
      <sz val="9"/>
      <color theme="8" tint="0.39988402966399123"/>
      <name val="Arial"/>
      <family val="2"/>
    </font>
    <font>
      <sz val="9"/>
      <color rgb="FFFF0000"/>
      <name val="Arial"/>
      <family val="2"/>
    </font>
    <font>
      <i/>
      <sz val="8"/>
      <color rgb="FFFF0000"/>
      <name val="Arial"/>
      <family val="2"/>
    </font>
    <font>
      <i/>
      <sz val="9"/>
      <color theme="0" tint="-0.499984740745262"/>
      <name val="Calibri"/>
      <family val="2"/>
      <scheme val="minor"/>
    </font>
    <font>
      <sz val="9"/>
      <color theme="0"/>
      <name val="Wingdings"/>
      <charset val="2"/>
    </font>
  </fonts>
  <fills count="13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99"/>
        <bgColor indexed="64"/>
      </patternFill>
    </fill>
    <fill>
      <patternFill patternType="gray125">
        <fgColor theme="8" tint="-0.499984740745262"/>
        <bgColor theme="8" tint="0.59996337778862885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6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8" tint="-0.499984740745262"/>
      </left>
      <right style="thin">
        <color theme="8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dotted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42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3" fillId="0" borderId="0" applyNumberFormat="0" applyFill="0" applyBorder="0" applyProtection="0"/>
    <xf numFmtId="0" fontId="26" fillId="0" borderId="0" applyNumberFormat="0" applyFill="0" applyBorder="0">
      <alignment horizontal="left"/>
      <protection locked="0"/>
    </xf>
    <xf numFmtId="0" fontId="14" fillId="0" borderId="0" applyNumberFormat="0" applyFill="0" applyBorder="0" applyProtection="0"/>
    <xf numFmtId="0" fontId="15" fillId="3" borderId="1" applyNumberFormat="0" applyProtection="0"/>
    <xf numFmtId="0" fontId="16" fillId="0" borderId="0" applyNumberFormat="0" applyFill="0" applyAlignment="0" applyProtection="0"/>
    <xf numFmtId="0" fontId="17" fillId="0" borderId="0" applyNumberFormat="0" applyFill="0" applyAlignment="0" applyProtection="0"/>
    <xf numFmtId="0" fontId="25" fillId="0" borderId="3" applyNumberFormat="0" applyAlignment="0">
      <alignment horizontal="center"/>
    </xf>
    <xf numFmtId="0" fontId="24" fillId="4" borderId="4" applyNumberFormat="0" applyAlignment="0">
      <protection locked="0"/>
    </xf>
    <xf numFmtId="0" fontId="3" fillId="0" borderId="0" applyNumberFormat="0" applyFill="0" applyBorder="0"/>
    <xf numFmtId="179" fontId="22" fillId="0" borderId="0" applyFill="0" applyBorder="0" applyProtection="0">
      <alignment horizontal="center"/>
    </xf>
    <xf numFmtId="178" fontId="23" fillId="0" borderId="0" applyFill="0" applyBorder="0" applyProtection="0">
      <alignment horizontal="center"/>
    </xf>
    <xf numFmtId="167" fontId="1" fillId="5" borderId="4" applyAlignment="0"/>
    <xf numFmtId="164" fontId="2" fillId="2" borderId="2">
      <alignment horizontal="center"/>
      <protection locked="0"/>
    </xf>
    <xf numFmtId="0" fontId="4" fillId="0" borderId="0" applyFill="0" applyBorder="0">
      <alignment horizontal="left" vertical="center"/>
      <protection locked="0"/>
    </xf>
    <xf numFmtId="41" fontId="27" fillId="6" borderId="5" applyNumberFormat="0" applyAlignment="0"/>
    <xf numFmtId="41" fontId="1" fillId="0" borderId="6" applyNumberFormat="0" applyFont="0" applyFill="0" applyAlignment="0"/>
    <xf numFmtId="168" fontId="1" fillId="0" borderId="7" applyNumberFormat="0" applyFont="0" applyFill="0" applyAlignment="0" applyProtection="0"/>
    <xf numFmtId="0" fontId="6" fillId="0" borderId="0"/>
    <xf numFmtId="0" fontId="31" fillId="0" borderId="8" applyNumberFormat="0" applyFill="0" applyBorder="0"/>
    <xf numFmtId="168" fontId="1" fillId="0" borderId="0" applyFont="0" applyFill="0" applyBorder="0" applyAlignment="0" applyProtection="0"/>
    <xf numFmtId="0" fontId="27" fillId="7" borderId="2" applyNumberFormat="0" applyAlignment="0" applyProtection="0"/>
    <xf numFmtId="0" fontId="32" fillId="0" borderId="0" applyNumberFormat="0" applyFill="0" applyBorder="0" applyAlignment="0" applyProtection="0"/>
    <xf numFmtId="169" fontId="7" fillId="0" borderId="0" applyFill="0" applyBorder="0">
      <alignment horizontal="right" vertical="center"/>
    </xf>
    <xf numFmtId="170" fontId="7" fillId="0" borderId="0" applyFill="0" applyBorder="0">
      <alignment horizontal="right" vertical="center"/>
    </xf>
    <xf numFmtId="171" fontId="28" fillId="7" borderId="4">
      <alignment horizontal="center"/>
    </xf>
    <xf numFmtId="41" fontId="5" fillId="8" borderId="5" applyFont="0" applyAlignment="0"/>
    <xf numFmtId="0" fontId="12" fillId="11" borderId="0" applyNumberFormat="0">
      <alignment horizontal="center"/>
    </xf>
    <xf numFmtId="0" fontId="29" fillId="0" borderId="0" applyNumberFormat="0" applyFill="0" applyBorder="0" applyProtection="0">
      <alignment horizontal="center"/>
    </xf>
    <xf numFmtId="0" fontId="30" fillId="9" borderId="9" applyNumberFormat="0" applyAlignment="0">
      <protection locked="0"/>
    </xf>
    <xf numFmtId="0" fontId="21" fillId="0" borderId="0" applyNumberFormat="0" applyFill="0" applyBorder="0" applyAlignment="0" applyProtection="0"/>
    <xf numFmtId="0" fontId="19" fillId="0" borderId="1" applyNumberFormat="0" applyFill="0" applyAlignment="0" applyProtection="0"/>
    <xf numFmtId="0" fontId="20" fillId="0" borderId="10" applyNumberFormat="0" applyFill="0" applyAlignment="0" applyProtection="0"/>
    <xf numFmtId="0" fontId="18" fillId="0" borderId="11" applyNumberFormat="0" applyFill="0" applyAlignment="0" applyProtection="0"/>
    <xf numFmtId="0" fontId="17" fillId="0" borderId="12" applyNumberFormat="0" applyFill="0" applyAlignment="0" applyProtection="0"/>
    <xf numFmtId="172" fontId="15" fillId="3" borderId="1"/>
  </cellStyleXfs>
  <cellXfs count="91">
    <xf numFmtId="0" fontId="0" fillId="0" borderId="0" xfId="0"/>
    <xf numFmtId="164" fontId="2" fillId="2" borderId="2" xfId="0" applyNumberFormat="1" applyFont="1" applyFill="1" applyBorder="1" applyAlignment="1" applyProtection="1">
      <alignment horizontal="center"/>
      <protection locked="0"/>
    </xf>
    <xf numFmtId="0" fontId="0" fillId="0" borderId="0" xfId="0"/>
    <xf numFmtId="0" fontId="15" fillId="3" borderId="1" xfId="10"/>
    <xf numFmtId="0" fontId="16" fillId="0" borderId="0" xfId="11" applyBorder="1"/>
    <xf numFmtId="0" fontId="17" fillId="0" borderId="0" xfId="12"/>
    <xf numFmtId="0" fontId="25" fillId="0" borderId="3" xfId="13" applyAlignment="1">
      <alignment horizontal="center"/>
    </xf>
    <xf numFmtId="166" fontId="25" fillId="0" borderId="3" xfId="13" applyNumberFormat="1" applyAlignment="1">
      <alignment horizontal="center"/>
    </xf>
    <xf numFmtId="0" fontId="8" fillId="0" borderId="0" xfId="0" applyFont="1"/>
    <xf numFmtId="0" fontId="9" fillId="0" borderId="0" xfId="12" applyFont="1" applyAlignment="1">
      <alignment horizontal="left" vertical="center"/>
    </xf>
    <xf numFmtId="0" fontId="10" fillId="0" borderId="0" xfId="0" applyFont="1"/>
    <xf numFmtId="0" fontId="10" fillId="0" borderId="0" xfId="6" applyFont="1" applyAlignment="1">
      <alignment horizontal="left" vertical="center"/>
    </xf>
    <xf numFmtId="0" fontId="26" fillId="0" borderId="0" xfId="8">
      <alignment horizontal="left"/>
      <protection locked="0"/>
    </xf>
    <xf numFmtId="0" fontId="26" fillId="0" borderId="0" xfId="8" applyAlignment="1">
      <alignment horizontal="right"/>
      <protection locked="0"/>
    </xf>
    <xf numFmtId="0" fontId="12" fillId="11" borderId="0" xfId="33">
      <alignment horizontal="center"/>
    </xf>
    <xf numFmtId="0" fontId="0" fillId="0" borderId="0" xfId="0" applyBorder="1"/>
    <xf numFmtId="0" fontId="13" fillId="0" borderId="0" xfId="7" applyBorder="1"/>
    <xf numFmtId="0" fontId="0" fillId="0" borderId="0" xfId="0" applyFont="1" applyBorder="1"/>
    <xf numFmtId="0" fontId="11" fillId="0" borderId="0" xfId="0" applyFont="1" applyBorder="1" applyAlignment="1">
      <alignment horizontal="left"/>
    </xf>
    <xf numFmtId="0" fontId="14" fillId="0" borderId="0" xfId="9" applyBorder="1"/>
    <xf numFmtId="0" fontId="0" fillId="0" borderId="0" xfId="0" applyBorder="1" applyAlignment="1">
      <alignment horizontal="left"/>
    </xf>
    <xf numFmtId="0" fontId="17" fillId="0" borderId="0" xfId="12" applyBorder="1"/>
    <xf numFmtId="0" fontId="18" fillId="0" borderId="0" xfId="6" applyBorder="1"/>
    <xf numFmtId="0" fontId="31" fillId="0" borderId="0" xfId="25" applyBorder="1"/>
    <xf numFmtId="0" fontId="12" fillId="11" borderId="0" xfId="33" applyBorder="1">
      <alignment horizontal="center"/>
    </xf>
    <xf numFmtId="0" fontId="24" fillId="4" borderId="4" xfId="14">
      <protection locked="0"/>
    </xf>
    <xf numFmtId="0" fontId="11" fillId="0" borderId="0" xfId="0" applyFont="1" applyBorder="1"/>
    <xf numFmtId="0" fontId="25" fillId="0" borderId="3" xfId="13" applyAlignment="1"/>
    <xf numFmtId="167" fontId="1" fillId="5" borderId="4" xfId="18"/>
    <xf numFmtId="164" fontId="2" fillId="2" borderId="2" xfId="19">
      <alignment horizontal="center"/>
      <protection locked="0"/>
    </xf>
    <xf numFmtId="0" fontId="27" fillId="6" borderId="5" xfId="21" applyNumberFormat="1"/>
    <xf numFmtId="0" fontId="0" fillId="0" borderId="6" xfId="22" applyNumberFormat="1" applyFont="1"/>
    <xf numFmtId="0" fontId="0" fillId="0" borderId="7" xfId="23" applyNumberFormat="1" applyFont="1"/>
    <xf numFmtId="0" fontId="27" fillId="7" borderId="2" xfId="27"/>
    <xf numFmtId="0" fontId="32" fillId="0" borderId="0" xfId="28"/>
    <xf numFmtId="171" fontId="28" fillId="7" borderId="4" xfId="31">
      <alignment horizontal="center"/>
    </xf>
    <xf numFmtId="41" fontId="0" fillId="8" borderId="5" xfId="32" applyFont="1"/>
    <xf numFmtId="0" fontId="29" fillId="0" borderId="0" xfId="34">
      <alignment horizontal="center"/>
    </xf>
    <xf numFmtId="0" fontId="30" fillId="9" borderId="9" xfId="35">
      <protection locked="0"/>
    </xf>
    <xf numFmtId="41" fontId="0" fillId="0" borderId="0" xfId="2" applyFont="1"/>
    <xf numFmtId="168" fontId="0" fillId="0" borderId="0" xfId="26" applyFont="1"/>
    <xf numFmtId="9" fontId="0" fillId="0" borderId="0" xfId="5" applyFont="1"/>
    <xf numFmtId="0" fontId="0" fillId="0" borderId="0" xfId="0"/>
    <xf numFmtId="179" fontId="22" fillId="0" borderId="0" xfId="16">
      <alignment horizontal="center"/>
    </xf>
    <xf numFmtId="178" fontId="23" fillId="0" borderId="0" xfId="17">
      <alignment horizontal="center"/>
    </xf>
    <xf numFmtId="0" fontId="3" fillId="0" borderId="0" xfId="15"/>
    <xf numFmtId="164" fontId="15" fillId="3" borderId="1" xfId="10" applyNumberFormat="1" applyProtection="1">
      <protection locked="0"/>
    </xf>
    <xf numFmtId="165" fontId="15" fillId="3" borderId="1" xfId="10" applyNumberFormat="1"/>
    <xf numFmtId="0" fontId="0" fillId="0" borderId="0" xfId="0" applyBorder="1"/>
    <xf numFmtId="0" fontId="13" fillId="0" borderId="0" xfId="7"/>
    <xf numFmtId="0" fontId="14" fillId="0" borderId="0" xfId="9"/>
    <xf numFmtId="172" fontId="15" fillId="3" borderId="1" xfId="41"/>
    <xf numFmtId="173" fontId="0" fillId="0" borderId="0" xfId="2" applyNumberFormat="1" applyFont="1"/>
    <xf numFmtId="174" fontId="0" fillId="0" borderId="0" xfId="1" applyNumberFormat="1" applyFont="1"/>
    <xf numFmtId="175" fontId="0" fillId="0" borderId="0" xfId="3" applyNumberFormat="1" applyFont="1"/>
    <xf numFmtId="176" fontId="0" fillId="0" borderId="0" xfId="4" applyNumberFormat="1" applyFont="1"/>
    <xf numFmtId="177" fontId="22" fillId="0" borderId="0" xfId="16" applyNumberFormat="1" applyBorder="1">
      <alignment horizontal="center"/>
    </xf>
    <xf numFmtId="178" fontId="23" fillId="0" borderId="0" xfId="17" applyNumberFormat="1" applyBorder="1">
      <alignment horizontal="center"/>
    </xf>
    <xf numFmtId="177" fontId="25" fillId="0" borderId="3" xfId="13" applyNumberFormat="1">
      <alignment horizontal="center"/>
    </xf>
    <xf numFmtId="41" fontId="25" fillId="0" borderId="3" xfId="2" applyFont="1" applyBorder="1" applyAlignment="1"/>
    <xf numFmtId="0" fontId="26" fillId="0" borderId="0" xfId="8">
      <alignment horizontal="left"/>
      <protection locked="0"/>
    </xf>
    <xf numFmtId="0" fontId="26" fillId="0" borderId="0" xfId="8">
      <alignment horizontal="left"/>
      <protection locked="0"/>
    </xf>
    <xf numFmtId="0" fontId="0" fillId="0" borderId="0" xfId="0"/>
    <xf numFmtId="0" fontId="12" fillId="11" borderId="0" xfId="33">
      <alignment horizontal="center"/>
    </xf>
    <xf numFmtId="0" fontId="29" fillId="0" borderId="0" xfId="34" quotePrefix="1">
      <alignment horizontal="center"/>
    </xf>
    <xf numFmtId="9" fontId="24" fillId="4" borderId="4" xfId="5" applyFont="1" applyFill="1" applyBorder="1" applyAlignment="1" applyProtection="1">
      <alignment horizontal="center"/>
      <protection locked="0"/>
    </xf>
    <xf numFmtId="0" fontId="27" fillId="7" borderId="2" xfId="27" applyAlignment="1">
      <alignment horizontal="center"/>
    </xf>
    <xf numFmtId="168" fontId="24" fillId="4" borderId="4" xfId="26" applyFont="1" applyFill="1" applyBorder="1" applyProtection="1">
      <protection locked="0"/>
    </xf>
    <xf numFmtId="168" fontId="27" fillId="7" borderId="2" xfId="27" applyNumberFormat="1"/>
    <xf numFmtId="0" fontId="24" fillId="4" borderId="4" xfId="14" applyAlignment="1">
      <alignment horizontal="center"/>
      <protection locked="0"/>
    </xf>
    <xf numFmtId="0" fontId="23" fillId="0" borderId="0" xfId="0" applyFont="1"/>
    <xf numFmtId="0" fontId="29" fillId="0" borderId="0" xfId="34" applyFill="1" applyBorder="1">
      <alignment horizontal="center"/>
    </xf>
    <xf numFmtId="180" fontId="0" fillId="0" borderId="0" xfId="0" applyNumberFormat="1"/>
    <xf numFmtId="180" fontId="23" fillId="0" borderId="6" xfId="22" applyNumberFormat="1" applyFont="1"/>
    <xf numFmtId="168" fontId="23" fillId="0" borderId="0" xfId="26" applyFont="1"/>
    <xf numFmtId="168" fontId="23" fillId="0" borderId="13" xfId="26" applyFont="1" applyBorder="1"/>
    <xf numFmtId="180" fontId="27" fillId="7" borderId="2" xfId="27" applyNumberFormat="1"/>
    <xf numFmtId="168" fontId="27" fillId="7" borderId="2" xfId="26" applyFont="1" applyFill="1" applyBorder="1"/>
    <xf numFmtId="0" fontId="27" fillId="7" borderId="2" xfId="26" applyNumberFormat="1" applyFont="1" applyFill="1" applyBorder="1" applyAlignment="1">
      <alignment horizontal="center"/>
    </xf>
    <xf numFmtId="181" fontId="27" fillId="7" borderId="2" xfId="27" applyNumberFormat="1" applyAlignment="1">
      <alignment horizontal="center"/>
    </xf>
    <xf numFmtId="164" fontId="33" fillId="12" borderId="2" xfId="0" applyNumberFormat="1" applyFont="1" applyFill="1" applyBorder="1" applyAlignment="1" applyProtection="1">
      <alignment horizontal="center"/>
      <protection locked="0"/>
    </xf>
    <xf numFmtId="164" fontId="33" fillId="10" borderId="2" xfId="0" applyNumberFormat="1" applyFont="1" applyFill="1" applyBorder="1" applyAlignment="1" applyProtection="1">
      <alignment horizontal="center"/>
      <protection locked="0"/>
    </xf>
    <xf numFmtId="0" fontId="26" fillId="0" borderId="0" xfId="8">
      <alignment horizontal="left"/>
      <protection locked="0"/>
    </xf>
    <xf numFmtId="0" fontId="10" fillId="0" borderId="0" xfId="6" applyFont="1" applyAlignment="1">
      <alignment horizontal="left" vertical="center"/>
    </xf>
    <xf numFmtId="0" fontId="26" fillId="0" borderId="0" xfId="8">
      <alignment horizontal="left"/>
      <protection locked="0"/>
    </xf>
    <xf numFmtId="0" fontId="0" fillId="0" borderId="0" xfId="0"/>
    <xf numFmtId="0" fontId="0" fillId="0" borderId="0" xfId="0" applyBorder="1"/>
    <xf numFmtId="0" fontId="12" fillId="11" borderId="0" xfId="33">
      <alignment horizontal="center"/>
    </xf>
    <xf numFmtId="0" fontId="12" fillId="11" borderId="0" xfId="33" applyBorder="1">
      <alignment horizontal="center"/>
    </xf>
    <xf numFmtId="0" fontId="25" fillId="0" borderId="3" xfId="13" applyAlignment="1">
      <alignment horizontal="left"/>
    </xf>
    <xf numFmtId="0" fontId="24" fillId="4" borderId="4" xfId="14" applyAlignment="1">
      <alignment horizontal="left"/>
      <protection locked="0"/>
    </xf>
  </cellXfs>
  <cellStyles count="42">
    <cellStyle name="Accounts Ref" xfId="15" xr:uid="{00000000-0005-0000-0000-000000000000}"/>
    <cellStyle name="Assumption" xfId="14" xr:uid="{00000000-0005-0000-0000-000001000000}"/>
    <cellStyle name="Comma" xfId="1" builtinId="3"/>
    <cellStyle name="Comma [0]" xfId="2" builtinId="6"/>
    <cellStyle name="Constraint" xfId="13" xr:uid="{00000000-0005-0000-0000-000004000000}"/>
    <cellStyle name="Currency" xfId="3" builtinId="4"/>
    <cellStyle name="Currency [0]" xfId="4" builtinId="7"/>
    <cellStyle name="Date" xfId="16" xr:uid="{00000000-0005-0000-0000-000007000000}"/>
    <cellStyle name="Date Heading" xfId="17" xr:uid="{00000000-0005-0000-0000-000008000000}"/>
    <cellStyle name="Empty" xfId="18" xr:uid="{00000000-0005-0000-0000-000009000000}"/>
    <cellStyle name="Error_Checks" xfId="19" xr:uid="{00000000-0005-0000-0000-00000A000000}"/>
    <cellStyle name="Heading 1" xfId="37" builtinId="16" customBuiltin="1"/>
    <cellStyle name="Heading 1 Number" xfId="41" xr:uid="{00000000-0005-0000-0000-00000C000000}"/>
    <cellStyle name="Heading 1 Text" xfId="10" xr:uid="{00000000-0005-0000-0000-00000D000000}"/>
    <cellStyle name="Heading 2" xfId="38" builtinId="17" customBuiltin="1"/>
    <cellStyle name="Heading 2 Text" xfId="11" xr:uid="{00000000-0005-0000-0000-00000F000000}"/>
    <cellStyle name="Heading 3" xfId="39" builtinId="18" customBuiltin="1"/>
    <cellStyle name="Heading 3 Text" xfId="12" xr:uid="{00000000-0005-0000-0000-000011000000}"/>
    <cellStyle name="Heading 4" xfId="6" builtinId="19" customBuiltin="1"/>
    <cellStyle name="Hyperlink" xfId="8" builtinId="8" customBuiltin="1"/>
    <cellStyle name="Hyperlink Text" xfId="20" xr:uid="{00000000-0005-0000-0000-000014000000}"/>
    <cellStyle name="Internal Ref" xfId="21" xr:uid="{00000000-0005-0000-0000-000015000000}"/>
    <cellStyle name="Line Calc" xfId="22" xr:uid="{00000000-0005-0000-0000-000016000000}"/>
    <cellStyle name="Line Total" xfId="23" xr:uid="{00000000-0005-0000-0000-000017000000}"/>
    <cellStyle name="Model Name" xfId="9" xr:uid="{00000000-0005-0000-0000-000018000000}"/>
    <cellStyle name="Normal" xfId="0" builtinId="0" customBuiltin="1"/>
    <cellStyle name="Normal 2" xfId="24" xr:uid="{00000000-0005-0000-0000-00001A000000}"/>
    <cellStyle name="Notes" xfId="25" xr:uid="{00000000-0005-0000-0000-00001B000000}"/>
    <cellStyle name="Numbers 0" xfId="26" xr:uid="{00000000-0005-0000-0000-00001C000000}"/>
    <cellStyle name="Parameter" xfId="27" xr:uid="{00000000-0005-0000-0000-00001D000000}"/>
    <cellStyle name="Percent" xfId="5" builtinId="5"/>
    <cellStyle name="Range Name Description" xfId="28" xr:uid="{00000000-0005-0000-0000-00001F000000}"/>
    <cellStyle name="Right Currency" xfId="29" xr:uid="{00000000-0005-0000-0000-000020000000}"/>
    <cellStyle name="Right Number" xfId="30" xr:uid="{00000000-0005-0000-0000-000021000000}"/>
    <cellStyle name="Row Ref" xfId="31" xr:uid="{00000000-0005-0000-0000-000022000000}"/>
    <cellStyle name="Row_Summary" xfId="32" xr:uid="{00000000-0005-0000-0000-000023000000}"/>
    <cellStyle name="Sheet Title" xfId="7" xr:uid="{00000000-0005-0000-0000-000024000000}"/>
    <cellStyle name="Table_Heading" xfId="33" xr:uid="{00000000-0005-0000-0000-000025000000}"/>
    <cellStyle name="Title" xfId="36" builtinId="15" customBuiltin="1"/>
    <cellStyle name="Total" xfId="40" builtinId="25" customBuiltin="1"/>
    <cellStyle name="Units" xfId="34" xr:uid="{00000000-0005-0000-0000-000028000000}"/>
    <cellStyle name="WIP" xfId="35" xr:uid="{00000000-0005-0000-0000-000029000000}"/>
  </cellStyles>
  <dxfs count="19"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/>
        <right/>
        <top style="thin">
          <color auto="1"/>
        </top>
        <bottom/>
        <vertical/>
        <horizontal/>
      </border>
    </dxf>
    <dxf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/>
        <right/>
        <top style="thin">
          <color auto="1"/>
        </top>
        <bottom/>
        <vertical/>
        <horizontal/>
      </border>
    </dxf>
    <dxf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numFmt numFmtId="167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color rgb="FFFFFF00"/>
      </font>
      <fill>
        <patternFill>
          <bgColor rgb="FFFF0000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79998168889431442"/>
        </patternFill>
      </fill>
    </dxf>
    <dxf>
      <font>
        <b/>
        <i val="0"/>
      </font>
      <fill>
        <patternFill>
          <bgColor theme="1" tint="0.499984740745262"/>
        </patternFill>
      </fill>
      <border diagonalUp="0" diagonalDown="0">
        <left/>
        <right/>
        <top/>
        <bottom/>
        <vertical/>
        <horizontal/>
      </border>
    </dxf>
  </dxfs>
  <tableStyles count="1" defaultTableStyle="TableStyleMedium2" defaultPivotStyle="PivotStyleLight16">
    <tableStyle name="Table Style 1" pivot="0" count="3" xr9:uid="{00000000-0011-0000-FFFF-FFFF00000000}">
      <tableStyleElement type="headerRow" dxfId="18"/>
      <tableStyleElement type="firstRowStripe" dxfId="17"/>
      <tableStyleElement type="secondRowStripe" dxfId="16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6</xdr:row>
      <xdr:rowOff>168378</xdr:rowOff>
    </xdr:from>
    <xdr:to>
      <xdr:col>6</xdr:col>
      <xdr:colOff>334433</xdr:colOff>
      <xdr:row>11</xdr:row>
      <xdr:rowOff>117475</xdr:rowOff>
    </xdr:to>
    <xdr:pic>
      <xdr:nvPicPr>
        <xdr:cNvPr id="2" name="Picture 1" descr="SP Logo 0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7667" y="1533628"/>
          <a:ext cx="2048933" cy="7841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Main\ICAEW\Blog%20042%20-%20Pre-Tax%20Cost%20of%20Equity\SP%20Calculating%20the%20Pre-Tax%20Cost%20of%20Equity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Navigator"/>
      <sheetName val="Style Guide"/>
      <sheetName val="Model Parameters"/>
      <sheetName val="Pre-Tax Cost of Equity Example"/>
      <sheetName val="Timing"/>
      <sheetName val="Lookup Data"/>
      <sheetName val="Error Check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25">
          <cell r="F25" t="str">
            <v>Yes</v>
          </cell>
        </row>
      </sheetData>
      <sheetData sheetId="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sumproduct.com/" TargetMode="External"/><Relationship Id="rId1" Type="http://schemas.openxmlformats.org/officeDocument/2006/relationships/hyperlink" Target="mailto:liam.bastick@sumproduct.com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S22"/>
  <sheetViews>
    <sheetView showGridLines="0" tabSelected="1" zoomScaleNormal="100" workbookViewId="0"/>
  </sheetViews>
  <sheetFormatPr defaultRowHeight="12" x14ac:dyDescent="0.2"/>
  <cols>
    <col min="3" max="4" width="3.7109375" customWidth="1"/>
  </cols>
  <sheetData>
    <row r="1" spans="1:19" x14ac:dyDescent="0.2">
      <c r="A1" s="60"/>
    </row>
    <row r="3" spans="1:19" x14ac:dyDescent="0.2">
      <c r="A3" s="82" t="s">
        <v>1</v>
      </c>
    </row>
    <row r="5" spans="1:19" ht="20.25" x14ac:dyDescent="0.3">
      <c r="C5" s="49" t="str">
        <f>Client_Name</f>
        <v>SumProduct Pty Limited</v>
      </c>
      <c r="D5" s="8"/>
      <c r="E5" s="8"/>
      <c r="F5" s="8"/>
      <c r="G5" s="8"/>
      <c r="H5" s="8"/>
      <c r="I5" s="8"/>
      <c r="J5" s="8"/>
    </row>
    <row r="6" spans="1:19" ht="18" x14ac:dyDescent="0.25">
      <c r="C6" s="50" t="str">
        <f ca="1">Model_Name</f>
        <v>Chapter 7.7 - SP Capex Smoothing Example.xlsx</v>
      </c>
      <c r="D6" s="8"/>
      <c r="E6" s="8"/>
      <c r="F6" s="8"/>
      <c r="G6" s="8"/>
      <c r="H6" s="8"/>
      <c r="I6" s="8"/>
      <c r="J6" s="8"/>
    </row>
    <row r="7" spans="1:19" ht="12.75" x14ac:dyDescent="0.2">
      <c r="C7" s="8"/>
      <c r="D7" s="8"/>
      <c r="E7" s="8"/>
      <c r="F7" s="8"/>
      <c r="G7" s="8"/>
      <c r="H7" s="8"/>
      <c r="I7" s="8"/>
      <c r="J7" s="8"/>
    </row>
    <row r="8" spans="1:19" ht="12.75" x14ac:dyDescent="0.2">
      <c r="C8" s="8"/>
      <c r="D8" s="8"/>
      <c r="E8" s="8"/>
      <c r="F8" s="8"/>
      <c r="G8" s="8"/>
      <c r="H8" s="8"/>
      <c r="I8" s="8"/>
      <c r="J8" s="8"/>
    </row>
    <row r="9" spans="1:19" ht="12.75" x14ac:dyDescent="0.2">
      <c r="C9" s="8"/>
      <c r="D9" s="8"/>
      <c r="E9" s="8"/>
      <c r="F9" s="8"/>
      <c r="G9" s="8"/>
      <c r="H9" s="8"/>
      <c r="I9" s="8"/>
      <c r="J9" s="8"/>
    </row>
    <row r="10" spans="1:19" ht="12.75" x14ac:dyDescent="0.2">
      <c r="C10" s="8"/>
      <c r="D10" s="8"/>
      <c r="E10" s="8"/>
      <c r="F10" s="8"/>
      <c r="G10" s="8"/>
      <c r="H10" s="8"/>
      <c r="I10" s="8"/>
      <c r="J10" s="8"/>
    </row>
    <row r="11" spans="1:19" ht="15" x14ac:dyDescent="0.25">
      <c r="C11" s="8"/>
      <c r="D11" s="8"/>
      <c r="E11" s="8"/>
      <c r="F11" s="8"/>
      <c r="G11" s="8"/>
      <c r="H11" s="8"/>
      <c r="I11" s="8"/>
      <c r="J11" s="8"/>
      <c r="S11" s="45"/>
    </row>
    <row r="12" spans="1:19" ht="12.75" x14ac:dyDescent="0.2">
      <c r="C12" s="8"/>
      <c r="D12" s="8"/>
      <c r="E12" s="8"/>
      <c r="F12" s="8"/>
      <c r="G12" s="8"/>
      <c r="H12" s="8"/>
      <c r="I12" s="8"/>
      <c r="J12" s="8"/>
    </row>
    <row r="13" spans="1:19" ht="12.75" x14ac:dyDescent="0.2">
      <c r="C13" s="8"/>
      <c r="D13" s="8"/>
      <c r="E13" s="8"/>
      <c r="F13" s="8"/>
      <c r="G13" s="8"/>
      <c r="H13" s="8"/>
      <c r="I13" s="8"/>
      <c r="J13" s="8"/>
    </row>
    <row r="14" spans="1:19" ht="12.75" x14ac:dyDescent="0.2">
      <c r="C14" s="9" t="s">
        <v>19</v>
      </c>
      <c r="D14" s="10"/>
      <c r="E14" s="8"/>
      <c r="F14" s="8"/>
      <c r="G14" s="8"/>
      <c r="H14" s="8"/>
      <c r="I14" s="8"/>
      <c r="J14" s="8"/>
    </row>
    <row r="15" spans="1:19" ht="12.75" x14ac:dyDescent="0.2">
      <c r="C15" s="10"/>
      <c r="D15" s="10"/>
      <c r="E15" s="8"/>
      <c r="F15" s="8"/>
      <c r="G15" s="8"/>
      <c r="H15" s="8"/>
      <c r="I15" s="8"/>
      <c r="J15" s="8"/>
    </row>
    <row r="16" spans="1:19" ht="12.75" x14ac:dyDescent="0.2">
      <c r="C16" s="9" t="s">
        <v>20</v>
      </c>
      <c r="D16" s="10"/>
      <c r="E16" s="8"/>
      <c r="F16" s="8"/>
      <c r="G16" s="8"/>
      <c r="H16" s="8"/>
      <c r="I16" s="8"/>
      <c r="J16" s="8"/>
    </row>
    <row r="17" spans="3:10" ht="12.75" x14ac:dyDescent="0.2">
      <c r="C17" s="83" t="s">
        <v>82</v>
      </c>
      <c r="D17" s="83"/>
      <c r="E17" s="83"/>
      <c r="F17" s="83"/>
      <c r="G17" s="83"/>
      <c r="H17" s="83"/>
      <c r="I17" s="83"/>
      <c r="J17" s="83"/>
    </row>
    <row r="18" spans="3:10" ht="12.75" x14ac:dyDescent="0.2">
      <c r="C18" s="83"/>
      <c r="D18" s="83"/>
      <c r="E18" s="83"/>
      <c r="F18" s="83"/>
      <c r="G18" s="83"/>
      <c r="H18" s="83"/>
      <c r="I18" s="83"/>
      <c r="J18" s="83"/>
    </row>
    <row r="19" spans="3:10" ht="12.75" x14ac:dyDescent="0.2">
      <c r="C19" s="11"/>
      <c r="D19" s="10"/>
      <c r="E19" s="8"/>
      <c r="F19" s="8"/>
      <c r="G19" s="8"/>
      <c r="H19" s="8"/>
      <c r="I19" s="8"/>
      <c r="J19" s="8"/>
    </row>
    <row r="20" spans="3:10" ht="12.75" x14ac:dyDescent="0.2">
      <c r="C20" s="11"/>
      <c r="D20" s="10"/>
      <c r="E20" s="8"/>
      <c r="F20" s="8"/>
      <c r="G20" s="8"/>
      <c r="H20" s="8"/>
      <c r="I20" s="8"/>
      <c r="J20" s="8"/>
    </row>
    <row r="21" spans="3:10" ht="12.75" x14ac:dyDescent="0.2">
      <c r="C21" s="11" t="s">
        <v>21</v>
      </c>
      <c r="D21" s="10"/>
      <c r="E21" s="8"/>
      <c r="F21" s="8"/>
      <c r="G21" s="84" t="s">
        <v>22</v>
      </c>
      <c r="H21" s="84"/>
      <c r="I21" s="84"/>
      <c r="J21" s="8"/>
    </row>
    <row r="22" spans="3:10" ht="12.75" x14ac:dyDescent="0.2">
      <c r="C22" s="11" t="s">
        <v>23</v>
      </c>
      <c r="D22" s="10"/>
      <c r="E22" s="8"/>
      <c r="F22" s="8"/>
      <c r="G22" s="84" t="s">
        <v>24</v>
      </c>
      <c r="H22" s="84"/>
      <c r="I22" s="84"/>
      <c r="J22" s="8"/>
    </row>
  </sheetData>
  <mergeCells count="4">
    <mergeCell ref="C17:J17"/>
    <mergeCell ref="C18:J18"/>
    <mergeCell ref="G21:I21"/>
    <mergeCell ref="G22:I22"/>
  </mergeCells>
  <hyperlinks>
    <hyperlink ref="G21" r:id="rId1" xr:uid="{00000000-0004-0000-0000-000000000000}"/>
    <hyperlink ref="G22" r:id="rId2" xr:uid="{00000000-0004-0000-0000-000001000000}"/>
    <hyperlink ref="A3" location="HL_Navigator" display="Navigator" xr:uid="{00000000-0004-0000-0000-000002000000}"/>
  </hyperlinks>
  <pageMargins left="0.7" right="0.7" top="0.75" bottom="0.75" header="0.3" footer="0.3"/>
  <pageSetup paperSize="9"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X16"/>
  <sheetViews>
    <sheetView showGridLines="0" zoomScaleNormal="100" workbookViewId="0">
      <pane ySplit="4" topLeftCell="A5" activePane="bottomLeft" state="frozen"/>
      <selection pane="bottomLeft" activeCell="A5" sqref="A5"/>
    </sheetView>
  </sheetViews>
  <sheetFormatPr defaultRowHeight="12" x14ac:dyDescent="0.2"/>
  <cols>
    <col min="1" max="5" width="3.7109375" customWidth="1"/>
    <col min="6" max="6" width="17.7109375" customWidth="1"/>
  </cols>
  <sheetData>
    <row r="1" spans="1:24" ht="20.25" x14ac:dyDescent="0.3">
      <c r="A1" s="49" t="s">
        <v>1</v>
      </c>
      <c r="F1" s="13"/>
      <c r="G1" s="13"/>
    </row>
    <row r="2" spans="1:24" ht="18" x14ac:dyDescent="0.25">
      <c r="A2" s="50" t="str">
        <f ca="1">Model_Name</f>
        <v>Chapter 7.7 - SP Capex Smoothing Example.xlsx</v>
      </c>
    </row>
    <row r="3" spans="1:24" x14ac:dyDescent="0.2">
      <c r="A3" s="12" t="s">
        <v>1</v>
      </c>
      <c r="B3" s="12"/>
      <c r="C3" s="12"/>
      <c r="D3" s="12"/>
      <c r="E3" s="12"/>
    </row>
    <row r="4" spans="1:24" ht="14.25" x14ac:dyDescent="0.2">
      <c r="E4" t="s">
        <v>2</v>
      </c>
      <c r="G4" s="29">
        <f>Overall_Error_Check</f>
        <v>0</v>
      </c>
    </row>
    <row r="7" spans="1:24" ht="16.5" thickBot="1" x14ac:dyDescent="0.3">
      <c r="B7" s="51">
        <v>1</v>
      </c>
      <c r="C7" s="51" t="s">
        <v>25</v>
      </c>
      <c r="D7" s="51"/>
      <c r="E7" s="51"/>
      <c r="F7" s="51"/>
      <c r="G7" s="51"/>
      <c r="H7" s="51"/>
      <c r="I7" s="51"/>
      <c r="J7" s="51"/>
      <c r="K7" s="51"/>
      <c r="L7" s="51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</row>
    <row r="8" spans="1:24" ht="12.75" thickTop="1" x14ac:dyDescent="0.2"/>
    <row r="9" spans="1:24" x14ac:dyDescent="0.2">
      <c r="F9" s="82" t="s">
        <v>26</v>
      </c>
    </row>
    <row r="10" spans="1:24" x14ac:dyDescent="0.2">
      <c r="F10" s="82" t="s">
        <v>27</v>
      </c>
    </row>
    <row r="11" spans="1:24" x14ac:dyDescent="0.2">
      <c r="F11" s="82" t="s">
        <v>0</v>
      </c>
    </row>
    <row r="12" spans="1:24" x14ac:dyDescent="0.2">
      <c r="F12" s="82" t="s">
        <v>102</v>
      </c>
    </row>
    <row r="13" spans="1:24" x14ac:dyDescent="0.2">
      <c r="F13" s="82" t="s">
        <v>70</v>
      </c>
    </row>
    <row r="14" spans="1:24" x14ac:dyDescent="0.2">
      <c r="F14" s="82" t="s">
        <v>103</v>
      </c>
    </row>
    <row r="15" spans="1:24" x14ac:dyDescent="0.2">
      <c r="F15" s="82" t="s">
        <v>66</v>
      </c>
    </row>
    <row r="16" spans="1:24" x14ac:dyDescent="0.2">
      <c r="F16" s="61"/>
    </row>
  </sheetData>
  <conditionalFormatting sqref="G4">
    <cfRule type="cellIs" dxfId="15" priority="1" operator="equal">
      <formula>1</formula>
    </cfRule>
  </conditionalFormatting>
  <hyperlinks>
    <hyperlink ref="A3:E3" location="HL_Navigator" tooltip="Go to Navigator (Table of Contents)" display="Navigator" xr:uid="{00000000-0004-0000-0100-000000000000}"/>
    <hyperlink ref="F9" location="HL_1" display="Cover" xr:uid="{F37B664A-2766-4133-B214-12C7FEDF5C5C}"/>
    <hyperlink ref="F10" location="HL_3" display="Style Guide" xr:uid="{2BAC7D49-9A22-45FF-A246-DEDD180E7F85}"/>
    <hyperlink ref="F11" location="HL_4" display="Model Parameters" xr:uid="{466708DE-3174-4463-B8D6-068CC4F7EA34}"/>
    <hyperlink ref="F12" location="HL_5" display="Capex Smoothing" xr:uid="{E799C7B0-EB37-407B-BD29-F5D45A337D49}"/>
    <hyperlink ref="F13" location="HL_6" display="Timing" xr:uid="{7DE84462-AF6C-46FB-BF16-26AFE952BD7B}"/>
    <hyperlink ref="F14" location="HL_7" display="Lookup Data" xr:uid="{AA748874-949A-4441-9E89-4D3E590120CB}"/>
    <hyperlink ref="F15" location="HL_8" display="Error Checks" xr:uid="{338FA985-BE33-425C-8463-1A3645E7C5EE}"/>
  </hyperlink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outlinePr summaryBelow="0"/>
  </sheetPr>
  <dimension ref="A1:O81"/>
  <sheetViews>
    <sheetView showGridLines="0" zoomScaleNormal="100" workbookViewId="0">
      <pane ySplit="4" topLeftCell="A5" activePane="bottomLeft" state="frozen"/>
      <selection pane="bottomLeft" activeCell="A5" sqref="A5"/>
    </sheetView>
  </sheetViews>
  <sheetFormatPr defaultColWidth="0" defaultRowHeight="12" outlineLevelRow="1" x14ac:dyDescent="0.2"/>
  <cols>
    <col min="1" max="5" width="3.7109375" customWidth="1"/>
    <col min="6" max="7" width="9.140625" customWidth="1"/>
    <col min="8" max="8" width="1.7109375" customWidth="1"/>
    <col min="9" max="9" width="17.28515625" bestFit="1" customWidth="1"/>
    <col min="10" max="10" width="1.7109375" customWidth="1"/>
    <col min="11" max="11" width="23.42578125" customWidth="1"/>
    <col min="12" max="13" width="9.140625" customWidth="1"/>
    <col min="14" max="14" width="1.7109375" customWidth="1"/>
    <col min="15" max="15" width="0" hidden="1" customWidth="1"/>
    <col min="16" max="16384" width="9.140625" hidden="1"/>
  </cols>
  <sheetData>
    <row r="1" spans="1:13" ht="20.25" x14ac:dyDescent="0.3">
      <c r="A1" s="49" t="str">
        <f ca="1">IF(ISERROR(RIGHT(CELL("filename",A1),LEN(CELL("filename",A1))-FIND("]",CELL("filename",A1)))),
"",
RIGHT(CELL("filename",A1),LEN(CELL("filename",A1))-FIND("]",CELL("filename",A1))))</f>
        <v>Style Guide</v>
      </c>
      <c r="K1" s="12"/>
    </row>
    <row r="2" spans="1:13" ht="18" x14ac:dyDescent="0.25">
      <c r="A2" s="50" t="str">
        <f ca="1">Model_Name</f>
        <v>Chapter 7.7 - SP Capex Smoothing Example.xlsx</v>
      </c>
    </row>
    <row r="3" spans="1:13" x14ac:dyDescent="0.2">
      <c r="A3" s="84" t="s">
        <v>1</v>
      </c>
      <c r="B3" s="84"/>
      <c r="C3" s="84"/>
      <c r="D3" s="84"/>
      <c r="E3" s="84"/>
    </row>
    <row r="4" spans="1:13" ht="14.25" x14ac:dyDescent="0.2">
      <c r="E4" t="s">
        <v>2</v>
      </c>
      <c r="I4" s="1">
        <f>Overall_Error_Check</f>
        <v>0</v>
      </c>
    </row>
    <row r="5" spans="1:13" x14ac:dyDescent="0.2">
      <c r="A5" s="60"/>
    </row>
    <row r="6" spans="1:13" ht="16.5" thickBot="1" x14ac:dyDescent="0.3">
      <c r="B6" s="51">
        <f>MAX($B$5:$B5)+1</f>
        <v>1</v>
      </c>
      <c r="C6" s="3" t="s">
        <v>28</v>
      </c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12.75" outlineLevel="1" thickTop="1" x14ac:dyDescent="0.2"/>
    <row r="8" spans="1:13" outlineLevel="1" x14ac:dyDescent="0.2">
      <c r="C8" s="87" t="s">
        <v>29</v>
      </c>
      <c r="D8" s="87"/>
      <c r="E8" s="87"/>
      <c r="F8" s="87"/>
      <c r="G8" s="87"/>
      <c r="H8" s="14"/>
      <c r="I8" s="14" t="s">
        <v>30</v>
      </c>
      <c r="J8" s="14"/>
      <c r="K8" s="14" t="s">
        <v>31</v>
      </c>
    </row>
    <row r="9" spans="1:13" outlineLevel="1" x14ac:dyDescent="0.2">
      <c r="C9" s="86"/>
      <c r="D9" s="86"/>
      <c r="E9" s="86"/>
      <c r="F9" s="86"/>
      <c r="G9" s="86"/>
      <c r="H9" s="48"/>
      <c r="I9" s="48"/>
      <c r="J9" s="17"/>
      <c r="K9" s="20"/>
    </row>
    <row r="10" spans="1:13" ht="20.25" outlineLevel="1" x14ac:dyDescent="0.3">
      <c r="C10" s="86" t="s">
        <v>32</v>
      </c>
      <c r="D10" s="86"/>
      <c r="E10" s="86"/>
      <c r="F10" s="86"/>
      <c r="G10" s="86"/>
      <c r="H10" s="15"/>
      <c r="I10" s="16" t="str">
        <f>C10</f>
        <v>Sheet Title</v>
      </c>
      <c r="J10" s="17"/>
      <c r="K10" s="18" t="s">
        <v>32</v>
      </c>
    </row>
    <row r="11" spans="1:13" ht="18" outlineLevel="1" x14ac:dyDescent="0.25">
      <c r="C11" s="86" t="s">
        <v>5</v>
      </c>
      <c r="D11" s="86"/>
      <c r="E11" s="86"/>
      <c r="F11" s="86"/>
      <c r="G11" s="86"/>
      <c r="H11" s="15"/>
      <c r="I11" s="19" t="str">
        <f>C11</f>
        <v>Model Name</v>
      </c>
      <c r="J11" s="17"/>
      <c r="K11" s="18" t="s">
        <v>5</v>
      </c>
    </row>
    <row r="12" spans="1:13" outlineLevel="1" x14ac:dyDescent="0.2">
      <c r="C12" s="86"/>
      <c r="D12" s="86"/>
      <c r="E12" s="86"/>
      <c r="F12" s="86"/>
      <c r="G12" s="86"/>
      <c r="H12" s="15"/>
      <c r="I12" s="15"/>
      <c r="J12" s="17"/>
      <c r="K12" s="20"/>
    </row>
    <row r="13" spans="1:13" ht="16.5" outlineLevel="1" thickBot="1" x14ac:dyDescent="0.3">
      <c r="C13" s="86" t="s">
        <v>33</v>
      </c>
      <c r="D13" s="86"/>
      <c r="E13" s="86"/>
      <c r="F13" s="86"/>
      <c r="G13" s="86"/>
      <c r="H13" s="15"/>
      <c r="I13" s="47" t="str">
        <f>C13</f>
        <v>Header 1</v>
      </c>
      <c r="J13" s="17"/>
      <c r="K13" s="18" t="s">
        <v>33</v>
      </c>
    </row>
    <row r="14" spans="1:13" ht="17.25" outlineLevel="1" thickTop="1" x14ac:dyDescent="0.25">
      <c r="C14" s="86" t="s">
        <v>34</v>
      </c>
      <c r="D14" s="86"/>
      <c r="E14" s="86"/>
      <c r="F14" s="86"/>
      <c r="G14" s="86"/>
      <c r="H14" s="15"/>
      <c r="I14" s="4" t="str">
        <f>C14</f>
        <v>Header 2</v>
      </c>
      <c r="J14" s="17"/>
      <c r="K14" s="18" t="s">
        <v>34</v>
      </c>
    </row>
    <row r="15" spans="1:13" ht="15" outlineLevel="1" x14ac:dyDescent="0.25">
      <c r="C15" s="86" t="s">
        <v>35</v>
      </c>
      <c r="D15" s="86"/>
      <c r="E15" s="86"/>
      <c r="F15" s="86"/>
      <c r="G15" s="86"/>
      <c r="H15" s="15"/>
      <c r="I15" s="21" t="str">
        <f>C15</f>
        <v>Header 3</v>
      </c>
      <c r="J15" s="17"/>
      <c r="K15" s="18" t="s">
        <v>35</v>
      </c>
    </row>
    <row r="16" spans="1:13" ht="15" outlineLevel="1" x14ac:dyDescent="0.25">
      <c r="C16" s="86" t="s">
        <v>36</v>
      </c>
      <c r="D16" s="86"/>
      <c r="E16" s="86"/>
      <c r="F16" s="86"/>
      <c r="G16" s="86"/>
      <c r="H16" s="15"/>
      <c r="I16" s="22" t="str">
        <f>C16</f>
        <v>Header 4</v>
      </c>
      <c r="J16" s="17"/>
      <c r="K16" s="18" t="s">
        <v>36</v>
      </c>
    </row>
    <row r="17" spans="2:14" outlineLevel="1" x14ac:dyDescent="0.2">
      <c r="C17" s="86"/>
      <c r="D17" s="86"/>
      <c r="E17" s="86"/>
      <c r="F17" s="86"/>
      <c r="G17" s="86"/>
      <c r="H17" s="15"/>
      <c r="I17" s="15"/>
      <c r="J17" s="17"/>
      <c r="K17" s="20"/>
    </row>
    <row r="18" spans="2:14" ht="15" outlineLevel="1" x14ac:dyDescent="0.25">
      <c r="C18" s="86" t="s">
        <v>37</v>
      </c>
      <c r="D18" s="86"/>
      <c r="E18" s="86"/>
      <c r="F18" s="86"/>
      <c r="G18" s="86"/>
      <c r="H18" s="15"/>
      <c r="I18" s="23" t="str">
        <f>C18</f>
        <v>Notes</v>
      </c>
      <c r="J18" s="17"/>
      <c r="K18" s="18" t="s">
        <v>37</v>
      </c>
    </row>
    <row r="19" spans="2:14" outlineLevel="1" x14ac:dyDescent="0.2">
      <c r="C19" s="86"/>
      <c r="D19" s="86"/>
      <c r="E19" s="86"/>
      <c r="F19" s="86"/>
      <c r="G19" s="86"/>
      <c r="H19" s="15"/>
      <c r="I19" s="15"/>
      <c r="J19" s="17"/>
      <c r="K19" s="20"/>
      <c r="N19" s="23"/>
    </row>
    <row r="20" spans="2:14" ht="15" outlineLevel="1" x14ac:dyDescent="0.25">
      <c r="C20" s="86" t="s">
        <v>38</v>
      </c>
      <c r="D20" s="86"/>
      <c r="E20" s="86"/>
      <c r="F20" s="86"/>
      <c r="G20" s="86"/>
      <c r="H20" s="15"/>
      <c r="I20" s="24" t="str">
        <f>C20</f>
        <v>Table Heading</v>
      </c>
      <c r="J20" s="17"/>
      <c r="K20" s="18" t="s">
        <v>38</v>
      </c>
    </row>
    <row r="21" spans="2:14" outlineLevel="1" x14ac:dyDescent="0.2">
      <c r="H21" s="2"/>
      <c r="I21" s="2"/>
      <c r="J21" s="2"/>
      <c r="K21" s="2"/>
    </row>
    <row r="22" spans="2:14" outlineLevel="1" x14ac:dyDescent="0.2"/>
    <row r="23" spans="2:14" ht="16.5" thickBot="1" x14ac:dyDescent="0.3">
      <c r="B23" s="51">
        <f>MAX($B$5:$B22)+1</f>
        <v>2</v>
      </c>
      <c r="C23" s="3" t="s">
        <v>39</v>
      </c>
      <c r="D23" s="3"/>
      <c r="E23" s="3"/>
      <c r="F23" s="3"/>
      <c r="G23" s="3"/>
      <c r="H23" s="3"/>
      <c r="I23" s="3"/>
      <c r="J23" s="3"/>
      <c r="K23" s="3"/>
      <c r="L23" s="3"/>
      <c r="M23" s="3"/>
    </row>
    <row r="24" spans="2:14" ht="12.75" outlineLevel="1" thickTop="1" x14ac:dyDescent="0.2"/>
    <row r="25" spans="2:14" outlineLevel="1" x14ac:dyDescent="0.2">
      <c r="C25" s="88" t="s">
        <v>29</v>
      </c>
      <c r="D25" s="88"/>
      <c r="E25" s="88"/>
      <c r="F25" s="88"/>
      <c r="G25" s="88"/>
      <c r="H25" s="24"/>
      <c r="I25" s="24" t="s">
        <v>30</v>
      </c>
      <c r="J25" s="24"/>
      <c r="K25" s="24" t="s">
        <v>31</v>
      </c>
    </row>
    <row r="26" spans="2:14" ht="15" outlineLevel="1" x14ac:dyDescent="0.25">
      <c r="C26" s="86"/>
      <c r="D26" s="86"/>
      <c r="E26" s="86"/>
      <c r="F26" s="86"/>
      <c r="G26" s="86"/>
      <c r="H26" s="48"/>
      <c r="I26" s="48"/>
      <c r="J26" s="17"/>
      <c r="K26" s="18"/>
    </row>
    <row r="27" spans="2:14" ht="15" outlineLevel="1" x14ac:dyDescent="0.25">
      <c r="C27" s="86" t="s">
        <v>40</v>
      </c>
      <c r="D27" s="86"/>
      <c r="E27" s="86"/>
      <c r="F27" s="86"/>
      <c r="G27" s="86"/>
      <c r="H27" s="15"/>
      <c r="I27" s="25" t="s">
        <v>40</v>
      </c>
      <c r="J27" s="15"/>
      <c r="K27" s="26" t="str">
        <f>C27</f>
        <v>Assumption</v>
      </c>
    </row>
    <row r="28" spans="2:14" ht="15" outlineLevel="1" x14ac:dyDescent="0.25">
      <c r="C28" s="86"/>
      <c r="D28" s="86"/>
      <c r="E28" s="86"/>
      <c r="F28" s="86"/>
      <c r="G28" s="86"/>
      <c r="H28" s="15"/>
      <c r="I28" s="15"/>
      <c r="J28" s="15"/>
      <c r="K28" s="26"/>
    </row>
    <row r="29" spans="2:14" ht="15" outlineLevel="1" x14ac:dyDescent="0.25">
      <c r="C29" s="86" t="s">
        <v>41</v>
      </c>
      <c r="D29" s="86"/>
      <c r="E29" s="86"/>
      <c r="F29" s="86"/>
      <c r="G29" s="86"/>
      <c r="H29" s="15"/>
      <c r="I29" s="27" t="str">
        <f>C29</f>
        <v>Constraint</v>
      </c>
      <c r="J29" s="15"/>
      <c r="K29" s="26" t="str">
        <f>C29</f>
        <v>Constraint</v>
      </c>
    </row>
    <row r="30" spans="2:14" ht="15" outlineLevel="1" x14ac:dyDescent="0.25">
      <c r="C30" s="86"/>
      <c r="D30" s="86"/>
      <c r="E30" s="86"/>
      <c r="F30" s="86"/>
      <c r="G30" s="86"/>
      <c r="H30" s="15"/>
      <c r="I30" s="15"/>
      <c r="J30" s="15"/>
      <c r="K30" s="26"/>
    </row>
    <row r="31" spans="2:14" ht="15" outlineLevel="1" x14ac:dyDescent="0.25">
      <c r="C31" s="85" t="s">
        <v>42</v>
      </c>
      <c r="D31" s="85"/>
      <c r="E31" s="85"/>
      <c r="F31" s="85"/>
      <c r="G31" s="85"/>
      <c r="I31" s="28"/>
      <c r="K31" s="26" t="str">
        <f>C31</f>
        <v>Empty</v>
      </c>
    </row>
    <row r="32" spans="2:14" ht="15" outlineLevel="1" x14ac:dyDescent="0.25">
      <c r="C32" s="85"/>
      <c r="D32" s="85"/>
      <c r="E32" s="85"/>
      <c r="F32" s="85"/>
      <c r="G32" s="85"/>
      <c r="K32" s="26"/>
    </row>
    <row r="33" spans="3:11" ht="15" outlineLevel="1" x14ac:dyDescent="0.25">
      <c r="C33" t="s">
        <v>43</v>
      </c>
      <c r="I33" s="29">
        <v>0</v>
      </c>
      <c r="K33" s="26" t="str">
        <f>C33</f>
        <v>Error Check</v>
      </c>
    </row>
    <row r="34" spans="3:11" ht="15" outlineLevel="1" x14ac:dyDescent="0.25">
      <c r="K34" s="26"/>
    </row>
    <row r="35" spans="3:11" ht="15" outlineLevel="1" x14ac:dyDescent="0.25">
      <c r="C35" s="85" t="s">
        <v>44</v>
      </c>
      <c r="D35" s="85"/>
      <c r="E35" s="85"/>
      <c r="F35" s="85"/>
      <c r="G35" s="85"/>
      <c r="I35" s="12" t="s">
        <v>44</v>
      </c>
      <c r="K35" s="26" t="str">
        <f>C35</f>
        <v>Hyperlink</v>
      </c>
    </row>
    <row r="36" spans="3:11" ht="15" outlineLevel="1" x14ac:dyDescent="0.25">
      <c r="C36" s="85"/>
      <c r="D36" s="85"/>
      <c r="E36" s="85"/>
      <c r="F36" s="85"/>
      <c r="G36" s="85"/>
      <c r="K36" s="26"/>
    </row>
    <row r="37" spans="3:11" ht="15" outlineLevel="1" x14ac:dyDescent="0.25">
      <c r="C37" s="85" t="s">
        <v>45</v>
      </c>
      <c r="D37" s="85"/>
      <c r="E37" s="85"/>
      <c r="F37" s="85"/>
      <c r="G37" s="85"/>
      <c r="I37" s="30" t="str">
        <f>'Error Checks'!E12</f>
        <v>NPV's reconcile</v>
      </c>
      <c r="K37" s="26" t="str">
        <f>C37</f>
        <v>Internal Reference</v>
      </c>
    </row>
    <row r="38" spans="3:11" ht="15" outlineLevel="1" x14ac:dyDescent="0.25">
      <c r="C38" s="85"/>
      <c r="D38" s="85"/>
      <c r="E38" s="85"/>
      <c r="F38" s="85"/>
      <c r="G38" s="85"/>
      <c r="K38" s="26"/>
    </row>
    <row r="39" spans="3:11" ht="15" outlineLevel="1" x14ac:dyDescent="0.25">
      <c r="C39" s="85" t="s">
        <v>46</v>
      </c>
      <c r="D39" s="85"/>
      <c r="E39" s="85"/>
      <c r="F39" s="85"/>
      <c r="G39" s="85"/>
      <c r="I39" s="31">
        <v>77</v>
      </c>
      <c r="K39" s="26" t="s">
        <v>47</v>
      </c>
    </row>
    <row r="40" spans="3:11" ht="15" outlineLevel="1" x14ac:dyDescent="0.25">
      <c r="C40" s="85"/>
      <c r="D40" s="85"/>
      <c r="E40" s="85"/>
      <c r="F40" s="85"/>
      <c r="G40" s="85"/>
      <c r="K40" s="26"/>
    </row>
    <row r="41" spans="3:11" ht="15" outlineLevel="1" x14ac:dyDescent="0.25">
      <c r="C41" s="85" t="s">
        <v>48</v>
      </c>
      <c r="D41" s="85"/>
      <c r="E41" s="85"/>
      <c r="F41" s="85"/>
      <c r="G41" s="85"/>
      <c r="I41" s="32">
        <f>I39</f>
        <v>77</v>
      </c>
      <c r="K41" s="26" t="str">
        <f>C41</f>
        <v>Line Total</v>
      </c>
    </row>
    <row r="42" spans="3:11" ht="15" outlineLevel="1" x14ac:dyDescent="0.25">
      <c r="C42" s="85"/>
      <c r="D42" s="85"/>
      <c r="E42" s="85"/>
      <c r="F42" s="85"/>
      <c r="G42" s="85"/>
      <c r="K42" s="26"/>
    </row>
    <row r="43" spans="3:11" ht="15" outlineLevel="1" x14ac:dyDescent="0.25">
      <c r="C43" s="85" t="s">
        <v>49</v>
      </c>
      <c r="D43" s="85"/>
      <c r="E43" s="85"/>
      <c r="F43" s="85"/>
      <c r="G43" s="85"/>
      <c r="I43" s="33">
        <v>365</v>
      </c>
      <c r="K43" s="26" t="str">
        <f>C43</f>
        <v>Parameter</v>
      </c>
    </row>
    <row r="44" spans="3:11" ht="15" outlineLevel="1" x14ac:dyDescent="0.25">
      <c r="C44" s="85"/>
      <c r="D44" s="85"/>
      <c r="E44" s="85"/>
      <c r="F44" s="85"/>
      <c r="G44" s="85"/>
      <c r="K44" s="26"/>
    </row>
    <row r="45" spans="3:11" ht="15" outlineLevel="1" x14ac:dyDescent="0.25">
      <c r="C45" s="85" t="s">
        <v>50</v>
      </c>
      <c r="D45" s="85"/>
      <c r="E45" s="85"/>
      <c r="F45" s="85"/>
      <c r="G45" s="85"/>
      <c r="I45" s="34" t="s">
        <v>51</v>
      </c>
      <c r="K45" s="26" t="str">
        <f>C45</f>
        <v>Range Name Description</v>
      </c>
    </row>
    <row r="46" spans="3:11" ht="15" outlineLevel="1" x14ac:dyDescent="0.25">
      <c r="C46" s="85"/>
      <c r="D46" s="85"/>
      <c r="E46" s="85"/>
      <c r="F46" s="85"/>
      <c r="G46" s="85"/>
      <c r="K46" s="26"/>
    </row>
    <row r="47" spans="3:11" ht="15" outlineLevel="1" x14ac:dyDescent="0.25">
      <c r="C47" s="85" t="s">
        <v>52</v>
      </c>
      <c r="D47" s="85"/>
      <c r="E47" s="85"/>
      <c r="F47" s="85"/>
      <c r="G47" s="85"/>
      <c r="I47" s="35">
        <f>ROW(C47)</f>
        <v>47</v>
      </c>
      <c r="K47" s="26" t="s">
        <v>53</v>
      </c>
    </row>
    <row r="48" spans="3:11" ht="15" outlineLevel="1" x14ac:dyDescent="0.25">
      <c r="C48" s="85"/>
      <c r="D48" s="85"/>
      <c r="E48" s="85"/>
      <c r="F48" s="85"/>
      <c r="G48" s="85"/>
      <c r="K48" s="26"/>
    </row>
    <row r="49" spans="2:13" ht="15" outlineLevel="1" x14ac:dyDescent="0.25">
      <c r="C49" s="85" t="s">
        <v>54</v>
      </c>
      <c r="D49" s="85"/>
      <c r="E49" s="85"/>
      <c r="F49" s="85"/>
      <c r="G49" s="85"/>
      <c r="I49" s="36">
        <f>I41</f>
        <v>77</v>
      </c>
      <c r="K49" s="26" t="str">
        <f>C49</f>
        <v>Row Summary</v>
      </c>
    </row>
    <row r="50" spans="2:13" ht="15" outlineLevel="1" x14ac:dyDescent="0.25">
      <c r="C50" s="85"/>
      <c r="D50" s="85"/>
      <c r="E50" s="85"/>
      <c r="F50" s="85"/>
      <c r="G50" s="85"/>
      <c r="K50" s="26"/>
    </row>
    <row r="51" spans="2:13" ht="15" outlineLevel="1" x14ac:dyDescent="0.25">
      <c r="C51" s="85" t="s">
        <v>55</v>
      </c>
      <c r="D51" s="85"/>
      <c r="E51" s="85"/>
      <c r="F51" s="85"/>
      <c r="G51" s="85"/>
      <c r="I51" s="37" t="s">
        <v>69</v>
      </c>
      <c r="K51" s="26" t="str">
        <f>C51</f>
        <v>Units</v>
      </c>
    </row>
    <row r="52" spans="2:13" ht="15" outlineLevel="1" x14ac:dyDescent="0.25">
      <c r="C52" s="85"/>
      <c r="D52" s="85"/>
      <c r="E52" s="85"/>
      <c r="F52" s="85"/>
      <c r="G52" s="85"/>
      <c r="K52" s="26"/>
    </row>
    <row r="53" spans="2:13" ht="15" outlineLevel="1" x14ac:dyDescent="0.25">
      <c r="C53" s="85" t="s">
        <v>56</v>
      </c>
      <c r="D53" s="85"/>
      <c r="E53" s="85"/>
      <c r="F53" s="85"/>
      <c r="G53" s="85"/>
      <c r="I53" s="38"/>
      <c r="K53" s="26" t="str">
        <f>C53</f>
        <v>WIP</v>
      </c>
    </row>
    <row r="54" spans="2:13" ht="15" outlineLevel="1" x14ac:dyDescent="0.25">
      <c r="C54" s="85"/>
      <c r="D54" s="85"/>
      <c r="E54" s="85"/>
      <c r="F54" s="85"/>
      <c r="G54" s="85"/>
      <c r="K54" s="26"/>
    </row>
    <row r="55" spans="2:13" outlineLevel="1" x14ac:dyDescent="0.2">
      <c r="C55" s="85"/>
      <c r="D55" s="85"/>
      <c r="E55" s="85"/>
      <c r="F55" s="85"/>
      <c r="G55" s="85"/>
    </row>
    <row r="56" spans="2:13" ht="16.5" thickBot="1" x14ac:dyDescent="0.3">
      <c r="B56" s="51">
        <f>MAX($B$5:$B55)+1</f>
        <v>3</v>
      </c>
      <c r="C56" s="3" t="s">
        <v>57</v>
      </c>
      <c r="D56" s="3"/>
      <c r="E56" s="3"/>
      <c r="F56" s="3"/>
      <c r="G56" s="3"/>
      <c r="H56" s="3"/>
      <c r="I56" s="3"/>
      <c r="J56" s="3"/>
      <c r="K56" s="3"/>
      <c r="L56" s="3"/>
      <c r="M56" s="3"/>
    </row>
    <row r="57" spans="2:13" ht="12.75" outlineLevel="1" thickTop="1" x14ac:dyDescent="0.2"/>
    <row r="58" spans="2:13" outlineLevel="1" x14ac:dyDescent="0.2">
      <c r="C58" s="87" t="s">
        <v>29</v>
      </c>
      <c r="D58" s="87"/>
      <c r="E58" s="87"/>
      <c r="F58" s="87"/>
      <c r="G58" s="87"/>
      <c r="H58" s="14"/>
      <c r="I58" s="14" t="s">
        <v>30</v>
      </c>
      <c r="J58" s="14"/>
      <c r="K58" s="14" t="s">
        <v>31</v>
      </c>
    </row>
    <row r="59" spans="2:13" outlineLevel="1" x14ac:dyDescent="0.2"/>
    <row r="60" spans="2:13" ht="15" outlineLevel="1" x14ac:dyDescent="0.25">
      <c r="C60" s="85" t="s">
        <v>58</v>
      </c>
      <c r="D60" s="85"/>
      <c r="E60" s="85"/>
      <c r="F60" s="85"/>
      <c r="G60" s="85"/>
      <c r="I60" s="53">
        <v>123456.789</v>
      </c>
      <c r="K60" s="26" t="str">
        <f t="shared" ref="K60:K66" si="0">C60</f>
        <v>Comma</v>
      </c>
    </row>
    <row r="61" spans="2:13" ht="15" outlineLevel="1" x14ac:dyDescent="0.25">
      <c r="C61" s="85"/>
      <c r="D61" s="85"/>
      <c r="E61" s="85"/>
      <c r="F61" s="85"/>
      <c r="G61" s="85"/>
      <c r="K61" s="26"/>
    </row>
    <row r="62" spans="2:13" ht="15" outlineLevel="1" x14ac:dyDescent="0.25">
      <c r="C62" s="85" t="s">
        <v>59</v>
      </c>
      <c r="D62" s="85"/>
      <c r="E62" s="85"/>
      <c r="F62" s="85"/>
      <c r="G62" s="85"/>
      <c r="I62" s="52">
        <v>-123456.789</v>
      </c>
      <c r="K62" s="26" t="str">
        <f t="shared" si="0"/>
        <v>Comma [0]</v>
      </c>
    </row>
    <row r="63" spans="2:13" ht="15" outlineLevel="1" x14ac:dyDescent="0.25">
      <c r="C63" s="85"/>
      <c r="D63" s="85"/>
      <c r="E63" s="85"/>
      <c r="F63" s="85"/>
      <c r="G63" s="85"/>
      <c r="K63" s="26"/>
    </row>
    <row r="64" spans="2:13" ht="15" outlineLevel="1" x14ac:dyDescent="0.25">
      <c r="C64" s="85" t="s">
        <v>60</v>
      </c>
      <c r="D64" s="85"/>
      <c r="E64" s="85"/>
      <c r="F64" s="85"/>
      <c r="G64" s="85"/>
      <c r="I64" s="54">
        <v>123456.789</v>
      </c>
      <c r="K64" s="26" t="str">
        <f t="shared" si="0"/>
        <v>Currency</v>
      </c>
    </row>
    <row r="65" spans="3:11" ht="15" outlineLevel="1" x14ac:dyDescent="0.25">
      <c r="C65" s="85"/>
      <c r="D65" s="85"/>
      <c r="E65" s="85"/>
      <c r="F65" s="85"/>
      <c r="G65" s="85"/>
      <c r="K65" s="26"/>
    </row>
    <row r="66" spans="3:11" ht="15" outlineLevel="1" x14ac:dyDescent="0.25">
      <c r="C66" s="85" t="s">
        <v>61</v>
      </c>
      <c r="D66" s="85"/>
      <c r="E66" s="85"/>
      <c r="F66" s="85"/>
      <c r="G66" s="85"/>
      <c r="I66" s="55">
        <v>123456.789</v>
      </c>
      <c r="K66" s="26" t="str">
        <f t="shared" si="0"/>
        <v>Currency [0]</v>
      </c>
    </row>
    <row r="67" spans="3:11" ht="15" outlineLevel="1" x14ac:dyDescent="0.25">
      <c r="C67" s="85"/>
      <c r="D67" s="85"/>
      <c r="E67" s="85"/>
      <c r="F67" s="85"/>
      <c r="G67" s="85"/>
      <c r="K67" s="26"/>
    </row>
    <row r="68" spans="3:11" ht="15" outlineLevel="1" x14ac:dyDescent="0.25">
      <c r="C68" s="86" t="s">
        <v>62</v>
      </c>
      <c r="D68" s="86"/>
      <c r="E68" s="86"/>
      <c r="F68" s="86"/>
      <c r="G68" s="86"/>
      <c r="H68" s="15"/>
      <c r="I68" s="56">
        <f ca="1">TODAY()</f>
        <v>43978</v>
      </c>
      <c r="J68" s="15"/>
      <c r="K68" s="26" t="str">
        <f>C68</f>
        <v>Date</v>
      </c>
    </row>
    <row r="69" spans="3:11" ht="15" outlineLevel="1" x14ac:dyDescent="0.25">
      <c r="C69" s="86"/>
      <c r="D69" s="86"/>
      <c r="E69" s="86"/>
      <c r="F69" s="86"/>
      <c r="G69" s="86"/>
      <c r="H69" s="15"/>
      <c r="I69" s="15"/>
      <c r="J69" s="15"/>
      <c r="K69" s="26"/>
    </row>
    <row r="70" spans="3:11" ht="15" outlineLevel="1" x14ac:dyDescent="0.25">
      <c r="C70" s="86" t="s">
        <v>63</v>
      </c>
      <c r="D70" s="86"/>
      <c r="E70" s="86"/>
      <c r="F70" s="86"/>
      <c r="G70" s="86"/>
      <c r="H70" s="15"/>
      <c r="I70" s="57">
        <f ca="1">TODAY()</f>
        <v>43978</v>
      </c>
      <c r="J70" s="15"/>
      <c r="K70" s="26" t="str">
        <f>C70</f>
        <v>Date Heading</v>
      </c>
    </row>
    <row r="71" spans="3:11" ht="15" outlineLevel="1" x14ac:dyDescent="0.25">
      <c r="C71" s="85"/>
      <c r="D71" s="85"/>
      <c r="E71" s="85"/>
      <c r="F71" s="85"/>
      <c r="G71" s="85"/>
      <c r="K71" s="26"/>
    </row>
    <row r="72" spans="3:11" ht="15" outlineLevel="1" x14ac:dyDescent="0.25">
      <c r="C72" s="85" t="s">
        <v>64</v>
      </c>
      <c r="D72" s="85"/>
      <c r="E72" s="85"/>
      <c r="F72" s="85"/>
      <c r="G72" s="85"/>
      <c r="I72" s="40">
        <v>-123456.789</v>
      </c>
      <c r="K72" s="26" t="str">
        <f>C72</f>
        <v>Numbers 0</v>
      </c>
    </row>
    <row r="73" spans="3:11" ht="15" outlineLevel="1" x14ac:dyDescent="0.25">
      <c r="C73" s="85"/>
      <c r="D73" s="85"/>
      <c r="E73" s="85"/>
      <c r="F73" s="85"/>
      <c r="G73" s="85"/>
      <c r="K73" s="26"/>
    </row>
    <row r="74" spans="3:11" ht="15" outlineLevel="1" x14ac:dyDescent="0.25">
      <c r="C74" s="85" t="s">
        <v>65</v>
      </c>
      <c r="D74" s="85"/>
      <c r="E74" s="85"/>
      <c r="F74" s="85"/>
      <c r="G74" s="85"/>
      <c r="I74" s="41">
        <v>0.5</v>
      </c>
      <c r="K74" s="26" t="str">
        <f>C74</f>
        <v>Percent</v>
      </c>
    </row>
    <row r="75" spans="3:11" outlineLevel="1" x14ac:dyDescent="0.2">
      <c r="C75" s="85"/>
      <c r="D75" s="85"/>
      <c r="E75" s="85"/>
      <c r="F75" s="85"/>
      <c r="G75" s="85"/>
    </row>
    <row r="76" spans="3:11" outlineLevel="1" x14ac:dyDescent="0.2">
      <c r="C76" s="85"/>
      <c r="D76" s="85"/>
      <c r="E76" s="85"/>
      <c r="F76" s="85"/>
      <c r="G76" s="85"/>
    </row>
    <row r="77" spans="3:11" x14ac:dyDescent="0.2">
      <c r="C77" s="85"/>
      <c r="D77" s="85"/>
      <c r="E77" s="85"/>
      <c r="F77" s="85"/>
      <c r="G77" s="85"/>
    </row>
    <row r="78" spans="3:11" x14ac:dyDescent="0.2">
      <c r="C78" s="85"/>
      <c r="D78" s="85"/>
      <c r="E78" s="85"/>
      <c r="F78" s="85"/>
      <c r="G78" s="85"/>
    </row>
    <row r="79" spans="3:11" x14ac:dyDescent="0.2">
      <c r="C79" s="85"/>
      <c r="D79" s="85"/>
      <c r="E79" s="85"/>
      <c r="F79" s="85"/>
      <c r="G79" s="85"/>
    </row>
    <row r="80" spans="3:11" x14ac:dyDescent="0.2">
      <c r="C80" s="85"/>
      <c r="D80" s="85"/>
      <c r="E80" s="85"/>
      <c r="F80" s="85"/>
      <c r="G80" s="85"/>
    </row>
    <row r="81" spans="3:7" x14ac:dyDescent="0.2">
      <c r="C81" s="85"/>
      <c r="D81" s="85"/>
      <c r="E81" s="85"/>
      <c r="F81" s="85"/>
      <c r="G81" s="85"/>
    </row>
  </sheetData>
  <mergeCells count="66">
    <mergeCell ref="C17:G17"/>
    <mergeCell ref="A3:E3"/>
    <mergeCell ref="C8:G8"/>
    <mergeCell ref="C9:G9"/>
    <mergeCell ref="C10:G10"/>
    <mergeCell ref="C11:G11"/>
    <mergeCell ref="C12:G12"/>
    <mergeCell ref="C13:G13"/>
    <mergeCell ref="C14:G14"/>
    <mergeCell ref="C15:G15"/>
    <mergeCell ref="C16:G16"/>
    <mergeCell ref="C35:G35"/>
    <mergeCell ref="C18:G18"/>
    <mergeCell ref="C19:G19"/>
    <mergeCell ref="C20:G20"/>
    <mergeCell ref="C25:G25"/>
    <mergeCell ref="C26:G26"/>
    <mergeCell ref="C27:G27"/>
    <mergeCell ref="C28:G28"/>
    <mergeCell ref="C29:G29"/>
    <mergeCell ref="C30:G30"/>
    <mergeCell ref="C31:G31"/>
    <mergeCell ref="C32:G32"/>
    <mergeCell ref="C47:G47"/>
    <mergeCell ref="C36:G36"/>
    <mergeCell ref="C37:G37"/>
    <mergeCell ref="C38:G38"/>
    <mergeCell ref="C39:G39"/>
    <mergeCell ref="C40:G40"/>
    <mergeCell ref="C41:G41"/>
    <mergeCell ref="C42:G42"/>
    <mergeCell ref="C43:G43"/>
    <mergeCell ref="C44:G44"/>
    <mergeCell ref="C45:G45"/>
    <mergeCell ref="C46:G46"/>
    <mergeCell ref="C62:G62"/>
    <mergeCell ref="C48:G48"/>
    <mergeCell ref="C49:G49"/>
    <mergeCell ref="C50:G50"/>
    <mergeCell ref="C51:G51"/>
    <mergeCell ref="C52:G52"/>
    <mergeCell ref="C53:G53"/>
    <mergeCell ref="C54:G54"/>
    <mergeCell ref="C55:G55"/>
    <mergeCell ref="C58:G58"/>
    <mergeCell ref="C60:G60"/>
    <mergeCell ref="C61:G61"/>
    <mergeCell ref="C74:G74"/>
    <mergeCell ref="C63:G63"/>
    <mergeCell ref="C64:G64"/>
    <mergeCell ref="C65:G65"/>
    <mergeCell ref="C66:G66"/>
    <mergeCell ref="C67:G67"/>
    <mergeCell ref="C68:G68"/>
    <mergeCell ref="C69:G69"/>
    <mergeCell ref="C70:G70"/>
    <mergeCell ref="C71:G71"/>
    <mergeCell ref="C72:G72"/>
    <mergeCell ref="C73:G73"/>
    <mergeCell ref="C81:G81"/>
    <mergeCell ref="C75:G75"/>
    <mergeCell ref="C76:G76"/>
    <mergeCell ref="C77:G77"/>
    <mergeCell ref="C78:G78"/>
    <mergeCell ref="C79:G79"/>
    <mergeCell ref="C80:G80"/>
  </mergeCells>
  <conditionalFormatting sqref="I4">
    <cfRule type="cellIs" dxfId="14" priority="1" operator="notEqual">
      <formula>0</formula>
    </cfRule>
  </conditionalFormatting>
  <hyperlinks>
    <hyperlink ref="A3:E3" location="HL_Navigator" tooltip="Go to Navigator (Table of Contents)" display="Navigator" xr:uid="{00000000-0004-0000-0200-000000000000}"/>
    <hyperlink ref="A3" location="HL_Navigator" display="Navigator" xr:uid="{00000000-0004-0000-0200-000001000000}"/>
    <hyperlink ref="I4" location="Overall_Error_Check" tooltip="Go to Overall Error Check" display="Overall_Error_Check" xr:uid="{00000000-0004-0000-0200-000002000000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2">
    <outlinePr summaryBelow="0"/>
  </sheetPr>
  <dimension ref="A1:S33"/>
  <sheetViews>
    <sheetView showGridLines="0" zoomScaleNormal="100" workbookViewId="0">
      <pane ySplit="4" topLeftCell="A5" activePane="bottomLeft" state="frozen"/>
      <selection activeCell="A3" sqref="A3:E3"/>
      <selection pane="bottomLeft" activeCell="A5" sqref="A5"/>
    </sheetView>
  </sheetViews>
  <sheetFormatPr defaultColWidth="0" defaultRowHeight="12" outlineLevelRow="1" x14ac:dyDescent="0.2"/>
  <cols>
    <col min="1" max="5" width="3.7109375" customWidth="1"/>
    <col min="6" max="6" width="16.28515625" customWidth="1"/>
    <col min="7" max="7" width="14.42578125" customWidth="1"/>
    <col min="8" max="8" width="3" customWidth="1"/>
    <col min="9" max="18" width="9.140625" customWidth="1"/>
    <col min="19" max="19" width="1.7109375" customWidth="1"/>
    <col min="20" max="16384" width="9.140625" hidden="1"/>
  </cols>
  <sheetData>
    <row r="1" spans="1:18" ht="20.25" x14ac:dyDescent="0.3">
      <c r="A1" s="49" t="str">
        <f ca="1">IF(ISERROR(RIGHT(CELL("filename",A1),LEN(CELL("filename",A1))-FIND("]",CELL("filename",A1)))),
"",
RIGHT(CELL("filename",A1),LEN(CELL("filename",A1))-FIND("]",CELL("filename",A1))))</f>
        <v>Model Parameters</v>
      </c>
      <c r="J1" s="84"/>
      <c r="K1" s="84"/>
    </row>
    <row r="2" spans="1:18" ht="18" x14ac:dyDescent="0.25">
      <c r="A2" s="50" t="str">
        <f ca="1">Model_Name</f>
        <v>Chapter 7.7 - SP Capex Smoothing Example.xlsx</v>
      </c>
    </row>
    <row r="3" spans="1:18" x14ac:dyDescent="0.2">
      <c r="A3" s="84" t="s">
        <v>1</v>
      </c>
      <c r="B3" s="84"/>
      <c r="C3" s="84"/>
      <c r="D3" s="84"/>
      <c r="E3" s="84"/>
    </row>
    <row r="4" spans="1:18" ht="14.25" x14ac:dyDescent="0.2">
      <c r="E4" t="s">
        <v>2</v>
      </c>
      <c r="I4" s="1">
        <f>Overall_Error_Check</f>
        <v>0</v>
      </c>
    </row>
    <row r="6" spans="1:18" ht="16.5" thickBot="1" x14ac:dyDescent="0.3">
      <c r="B6" s="51">
        <f>MAX($B$5:$B5)+1</f>
        <v>1</v>
      </c>
      <c r="C6" s="3" t="s">
        <v>3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18" ht="12.75" outlineLevel="1" thickTop="1" x14ac:dyDescent="0.2"/>
    <row r="8" spans="1:18" ht="16.5" outlineLevel="1" x14ac:dyDescent="0.25">
      <c r="C8" s="4" t="s">
        <v>4</v>
      </c>
    </row>
    <row r="9" spans="1:18" ht="16.5" outlineLevel="1" x14ac:dyDescent="0.25">
      <c r="C9" s="4"/>
    </row>
    <row r="10" spans="1:18" ht="16.5" outlineLevel="1" x14ac:dyDescent="0.25">
      <c r="C10" s="4"/>
      <c r="E10" s="5" t="s">
        <v>3</v>
      </c>
    </row>
    <row r="11" spans="1:18" outlineLevel="1" x14ac:dyDescent="0.2">
      <c r="E11" t="s">
        <v>5</v>
      </c>
      <c r="G11" s="89" t="str">
        <f ca="1">IF(ISERROR(OR(FIND("[",CELL("filename",A1)),FIND("]",CELL("filename",A1)))),"",MID(CELL("filename",A1),FIND("[",CELL("filename",A1))+1,FIND("]",CELL("filename",A1))-FIND("[",CELL("filename",A1))-1))</f>
        <v>Chapter 7.7 - SP Capex Smoothing Example.xlsx</v>
      </c>
      <c r="H11" s="89"/>
      <c r="I11" s="89"/>
      <c r="J11" s="89"/>
      <c r="K11" s="89"/>
      <c r="L11" s="89"/>
      <c r="M11" s="89"/>
      <c r="N11" s="89"/>
    </row>
    <row r="12" spans="1:18" outlineLevel="1" x14ac:dyDescent="0.2">
      <c r="E12" t="s">
        <v>6</v>
      </c>
      <c r="G12" s="90" t="s">
        <v>81</v>
      </c>
      <c r="H12" s="90"/>
      <c r="I12" s="90"/>
      <c r="J12" s="90"/>
      <c r="K12" s="90"/>
      <c r="L12" s="90"/>
      <c r="M12" s="90"/>
      <c r="N12" s="90"/>
    </row>
    <row r="13" spans="1:18" outlineLevel="1" x14ac:dyDescent="0.2"/>
    <row r="14" spans="1:18" outlineLevel="1" x14ac:dyDescent="0.2"/>
    <row r="15" spans="1:18" ht="16.5" thickBot="1" x14ac:dyDescent="0.3">
      <c r="B15" s="51">
        <f>MAX($B$5:$B14)+1</f>
        <v>2</v>
      </c>
      <c r="C15" s="3" t="s">
        <v>7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</row>
    <row r="16" spans="1:18" ht="12.75" outlineLevel="1" thickTop="1" x14ac:dyDescent="0.2"/>
    <row r="17" spans="3:7" ht="16.5" outlineLevel="1" x14ac:dyDescent="0.25">
      <c r="C17" s="4" t="s">
        <v>8</v>
      </c>
    </row>
    <row r="18" spans="3:7" outlineLevel="1" x14ac:dyDescent="0.2"/>
    <row r="19" spans="3:7" outlineLevel="1" x14ac:dyDescent="0.2">
      <c r="E19" t="s">
        <v>9</v>
      </c>
      <c r="G19" s="6">
        <v>365</v>
      </c>
    </row>
    <row r="20" spans="3:7" outlineLevel="1" x14ac:dyDescent="0.2">
      <c r="E20" t="s">
        <v>10</v>
      </c>
      <c r="G20" s="6">
        <v>1</v>
      </c>
    </row>
    <row r="21" spans="3:7" outlineLevel="1" x14ac:dyDescent="0.2">
      <c r="E21" t="s">
        <v>11</v>
      </c>
      <c r="G21" s="6">
        <v>3</v>
      </c>
    </row>
    <row r="22" spans="3:7" outlineLevel="1" x14ac:dyDescent="0.2">
      <c r="E22" t="s">
        <v>12</v>
      </c>
      <c r="G22" s="6">
        <v>6</v>
      </c>
    </row>
    <row r="23" spans="3:7" outlineLevel="1" x14ac:dyDescent="0.2">
      <c r="E23" t="s">
        <v>13</v>
      </c>
      <c r="G23" s="6">
        <v>12</v>
      </c>
    </row>
    <row r="24" spans="3:7" outlineLevel="1" x14ac:dyDescent="0.2">
      <c r="E24" t="s">
        <v>14</v>
      </c>
      <c r="G24" s="6">
        <v>4</v>
      </c>
    </row>
    <row r="25" spans="3:7" outlineLevel="1" x14ac:dyDescent="0.2"/>
    <row r="26" spans="3:7" outlineLevel="1" x14ac:dyDescent="0.2">
      <c r="E26" t="s">
        <v>15</v>
      </c>
      <c r="G26" s="6">
        <v>5</v>
      </c>
    </row>
    <row r="27" spans="3:7" outlineLevel="1" x14ac:dyDescent="0.2"/>
    <row r="28" spans="3:7" outlineLevel="1" x14ac:dyDescent="0.2">
      <c r="E28" t="s">
        <v>16</v>
      </c>
      <c r="G28" s="7">
        <v>9.9999999999999997E+98</v>
      </c>
    </row>
    <row r="29" spans="3:7" outlineLevel="1" x14ac:dyDescent="0.2">
      <c r="E29" t="s">
        <v>17</v>
      </c>
      <c r="G29" s="7">
        <v>1E-8</v>
      </c>
    </row>
    <row r="30" spans="3:7" outlineLevel="1" x14ac:dyDescent="0.2"/>
    <row r="31" spans="3:7" outlineLevel="1" x14ac:dyDescent="0.2">
      <c r="E31" t="s">
        <v>18</v>
      </c>
      <c r="G31" s="6">
        <v>1000</v>
      </c>
    </row>
    <row r="32" spans="3:7" outlineLevel="1" x14ac:dyDescent="0.2"/>
    <row r="33" outlineLevel="1" x14ac:dyDescent="0.2"/>
  </sheetData>
  <sheetProtection formatColumns="0" formatRows="0"/>
  <mergeCells count="4">
    <mergeCell ref="J1:K1"/>
    <mergeCell ref="A3:E3"/>
    <mergeCell ref="G11:N11"/>
    <mergeCell ref="G12:N12"/>
  </mergeCells>
  <conditionalFormatting sqref="I4">
    <cfRule type="cellIs" dxfId="13" priority="1" operator="notEqual">
      <formula>0</formula>
    </cfRule>
  </conditionalFormatting>
  <hyperlinks>
    <hyperlink ref="A3:E3" location="HL_Navigator" tooltip="Go to Navigator (Table of Contents)" display="Navigator" xr:uid="{00000000-0004-0000-0300-000000000000}"/>
    <hyperlink ref="A3" location="HL_Navigator" display="Navigator" xr:uid="{00000000-0004-0000-0300-000001000000}"/>
    <hyperlink ref="I4" location="Overall_Error_Check" tooltip="Go to Overall Error Check" display="Overall_Error_Check" xr:uid="{00000000-0004-0000-0300-000002000000}"/>
  </hyperlinks>
  <pageMargins left="0.70866141732283472" right="0.70866141732283472" top="0.74803149606299213" bottom="0.74803149606299213" header="0.31496062992125984" footer="0.31496062992125984"/>
  <pageSetup paperSize="8" scale="7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D82029-E99D-4EDF-82AD-53BA590A6935}">
  <sheetPr>
    <outlinePr summaryBelow="0" summaryRight="0"/>
    <pageSetUpPr fitToPage="1"/>
  </sheetPr>
  <dimension ref="A1:AN79"/>
  <sheetViews>
    <sheetView showGridLines="0" workbookViewId="0">
      <pane ySplit="9" topLeftCell="A10" activePane="bottomLeft" state="frozen"/>
      <selection pane="bottomLeft" activeCell="A10" sqref="A10"/>
    </sheetView>
  </sheetViews>
  <sheetFormatPr defaultRowHeight="12" outlineLevelRow="2" x14ac:dyDescent="0.2"/>
  <cols>
    <col min="1" max="5" width="3.7109375" customWidth="1"/>
    <col min="6" max="6" width="12.42578125" customWidth="1"/>
    <col min="7" max="7" width="11.5703125" customWidth="1"/>
    <col min="8" max="8" width="10.140625" bestFit="1" customWidth="1"/>
  </cols>
  <sheetData>
    <row r="1" spans="1:40" ht="20.25" x14ac:dyDescent="0.3">
      <c r="A1" s="49" t="str">
        <f ca="1">IF(ISERROR(RIGHT(CELL("filename",A1),LEN(CELL("filename",A1))-FIND("]",CELL("filename",A1)))),
"",
RIGHT(CELL("filename",A1),LEN(CELL("filename",A1))-FIND("]",CELL("filename",A1))))</f>
        <v>Capex Smoothing</v>
      </c>
      <c r="B1" s="62"/>
      <c r="C1" s="62"/>
      <c r="D1" s="62"/>
      <c r="E1" s="62"/>
      <c r="F1" s="62"/>
      <c r="G1" s="62"/>
      <c r="H1" s="62"/>
      <c r="I1" s="84"/>
      <c r="J1" s="84"/>
      <c r="K1" s="62"/>
    </row>
    <row r="2" spans="1:40" ht="18" x14ac:dyDescent="0.25">
      <c r="A2" s="50" t="str">
        <f ca="1">Model_Name</f>
        <v>Chapter 7.7 - SP Capex Smoothing Example.xlsx</v>
      </c>
      <c r="B2" s="62"/>
      <c r="C2" s="62"/>
      <c r="D2" s="62"/>
      <c r="E2" s="62"/>
      <c r="F2" s="62"/>
      <c r="G2" s="62"/>
      <c r="H2" s="62"/>
      <c r="I2" s="62"/>
      <c r="J2" s="62"/>
      <c r="K2" s="62"/>
    </row>
    <row r="3" spans="1:40" x14ac:dyDescent="0.2">
      <c r="A3" s="84" t="s">
        <v>1</v>
      </c>
      <c r="B3" s="84"/>
      <c r="C3" s="84"/>
      <c r="D3" s="84"/>
      <c r="E3" s="84"/>
      <c r="F3" s="62"/>
      <c r="G3" s="62"/>
      <c r="H3" s="62"/>
      <c r="I3" s="62"/>
      <c r="J3" s="62"/>
      <c r="K3" s="62"/>
    </row>
    <row r="4" spans="1:40" ht="14.25" x14ac:dyDescent="0.2">
      <c r="A4" s="62"/>
      <c r="B4" s="62" t="s">
        <v>2</v>
      </c>
      <c r="C4" s="62"/>
      <c r="D4" s="62"/>
      <c r="E4" s="62"/>
      <c r="G4" s="1">
        <f>Overall_Error_Check</f>
        <v>0</v>
      </c>
      <c r="H4" s="62"/>
      <c r="I4" s="62"/>
      <c r="J4" s="62"/>
      <c r="K4" s="62"/>
    </row>
    <row r="5" spans="1:40" collapsed="1" x14ac:dyDescent="0.2">
      <c r="A5" s="62"/>
      <c r="B5" s="62"/>
      <c r="C5" s="62"/>
      <c r="D5" s="62"/>
      <c r="E5" s="62"/>
      <c r="F5" s="62"/>
      <c r="G5" s="62"/>
      <c r="H5" s="62"/>
      <c r="I5" s="62"/>
      <c r="J5" s="44">
        <f ca="1">Timing!J5</f>
        <v>44561</v>
      </c>
      <c r="K5" s="44">
        <f ca="1">Timing!K5</f>
        <v>44926</v>
      </c>
      <c r="L5" s="44">
        <f ca="1">Timing!L5</f>
        <v>45291</v>
      </c>
      <c r="M5" s="44">
        <f ca="1">Timing!M5</f>
        <v>45657</v>
      </c>
      <c r="N5" s="44">
        <f ca="1">Timing!N5</f>
        <v>46022</v>
      </c>
      <c r="O5" s="44">
        <f ca="1">Timing!O5</f>
        <v>46387</v>
      </c>
      <c r="P5" s="44">
        <f ca="1">Timing!P5</f>
        <v>46752</v>
      </c>
      <c r="Q5" s="44">
        <f ca="1">Timing!Q5</f>
        <v>47118</v>
      </c>
      <c r="R5" s="44">
        <f ca="1">Timing!R5</f>
        <v>47483</v>
      </c>
      <c r="S5" s="44">
        <f ca="1">Timing!S5</f>
        <v>47848</v>
      </c>
      <c r="T5" s="44">
        <f ca="1">Timing!T5</f>
        <v>48213</v>
      </c>
      <c r="U5" s="44">
        <f ca="1">Timing!U5</f>
        <v>48579</v>
      </c>
      <c r="V5" s="44">
        <f ca="1">Timing!V5</f>
        <v>48944</v>
      </c>
      <c r="W5" s="44">
        <f ca="1">Timing!W5</f>
        <v>49309</v>
      </c>
      <c r="X5" s="44">
        <f ca="1">Timing!X5</f>
        <v>49674</v>
      </c>
      <c r="Y5" s="44">
        <f ca="1">Timing!Y5</f>
        <v>50040</v>
      </c>
      <c r="Z5" s="44">
        <f ca="1">Timing!Z5</f>
        <v>50405</v>
      </c>
      <c r="AA5" s="44">
        <f ca="1">Timing!AA5</f>
        <v>50770</v>
      </c>
      <c r="AB5" s="44">
        <f ca="1">Timing!AB5</f>
        <v>51135</v>
      </c>
      <c r="AC5" s="44">
        <f ca="1">Timing!AC5</f>
        <v>51501</v>
      </c>
      <c r="AD5" s="44">
        <f ca="1">Timing!AD5</f>
        <v>51866</v>
      </c>
      <c r="AE5" s="44">
        <f ca="1">Timing!AE5</f>
        <v>52231</v>
      </c>
      <c r="AF5" s="44">
        <f ca="1">Timing!AF5</f>
        <v>52596</v>
      </c>
      <c r="AG5" s="44">
        <f ca="1">Timing!AG5</f>
        <v>52962</v>
      </c>
      <c r="AH5" s="44">
        <f ca="1">Timing!AH5</f>
        <v>53327</v>
      </c>
      <c r="AI5" s="44">
        <f ca="1">Timing!AI5</f>
        <v>53692</v>
      </c>
      <c r="AJ5" s="44">
        <f ca="1">Timing!AJ5</f>
        <v>54057</v>
      </c>
      <c r="AK5" s="44">
        <f ca="1">Timing!AK5</f>
        <v>54423</v>
      </c>
      <c r="AL5" s="44">
        <f ca="1">Timing!AL5</f>
        <v>54788</v>
      </c>
      <c r="AM5" s="44">
        <f ca="1">Timing!AM5</f>
        <v>55153</v>
      </c>
    </row>
    <row r="6" spans="1:40" hidden="1" outlineLevel="2" x14ac:dyDescent="0.2">
      <c r="A6" s="62"/>
      <c r="B6" s="62"/>
      <c r="C6" s="62" t="str">
        <f>Timing!C6</f>
        <v>Start Date</v>
      </c>
      <c r="D6" s="62"/>
      <c r="E6" s="62"/>
      <c r="F6" s="62"/>
      <c r="G6" s="62"/>
      <c r="H6" s="62"/>
      <c r="I6" s="62"/>
      <c r="J6" s="43">
        <f ca="1">Timing!J6</f>
        <v>44197</v>
      </c>
      <c r="K6" s="43">
        <f ca="1">Timing!K6</f>
        <v>44562</v>
      </c>
      <c r="L6" s="43">
        <f ca="1">Timing!L6</f>
        <v>44927</v>
      </c>
      <c r="M6" s="43">
        <f ca="1">Timing!M6</f>
        <v>45292</v>
      </c>
      <c r="N6" s="43">
        <f ca="1">Timing!N6</f>
        <v>45658</v>
      </c>
      <c r="O6" s="43">
        <f ca="1">Timing!O6</f>
        <v>46023</v>
      </c>
      <c r="P6" s="43">
        <f ca="1">Timing!P6</f>
        <v>46388</v>
      </c>
      <c r="Q6" s="43">
        <f ca="1">Timing!Q6</f>
        <v>46753</v>
      </c>
      <c r="R6" s="43">
        <f ca="1">Timing!R6</f>
        <v>47119</v>
      </c>
      <c r="S6" s="43">
        <f ca="1">Timing!S6</f>
        <v>47484</v>
      </c>
      <c r="T6" s="43">
        <f ca="1">Timing!T6</f>
        <v>47849</v>
      </c>
      <c r="U6" s="43">
        <f ca="1">Timing!U6</f>
        <v>48214</v>
      </c>
      <c r="V6" s="43">
        <f ca="1">Timing!V6</f>
        <v>48580</v>
      </c>
      <c r="W6" s="43">
        <f ca="1">Timing!W6</f>
        <v>48945</v>
      </c>
      <c r="X6" s="43">
        <f ca="1">Timing!X6</f>
        <v>49310</v>
      </c>
      <c r="Y6" s="43">
        <f ca="1">Timing!Y6</f>
        <v>49675</v>
      </c>
      <c r="Z6" s="43">
        <f ca="1">Timing!Z6</f>
        <v>50041</v>
      </c>
      <c r="AA6" s="43">
        <f ca="1">Timing!AA6</f>
        <v>50406</v>
      </c>
      <c r="AB6" s="43">
        <f ca="1">Timing!AB6</f>
        <v>50771</v>
      </c>
      <c r="AC6" s="43">
        <f ca="1">Timing!AC6</f>
        <v>51136</v>
      </c>
      <c r="AD6" s="43">
        <f ca="1">Timing!AD6</f>
        <v>51502</v>
      </c>
      <c r="AE6" s="43">
        <f ca="1">Timing!AE6</f>
        <v>51867</v>
      </c>
      <c r="AF6" s="43">
        <f ca="1">Timing!AF6</f>
        <v>52232</v>
      </c>
      <c r="AG6" s="43">
        <f ca="1">Timing!AG6</f>
        <v>52597</v>
      </c>
      <c r="AH6" s="43">
        <f ca="1">Timing!AH6</f>
        <v>52963</v>
      </c>
      <c r="AI6" s="43">
        <f ca="1">Timing!AI6</f>
        <v>53328</v>
      </c>
      <c r="AJ6" s="43">
        <f ca="1">Timing!AJ6</f>
        <v>53693</v>
      </c>
      <c r="AK6" s="43">
        <f ca="1">Timing!AK6</f>
        <v>54058</v>
      </c>
      <c r="AL6" s="43">
        <f ca="1">Timing!AL6</f>
        <v>54424</v>
      </c>
      <c r="AM6" s="43">
        <f ca="1">Timing!AM6</f>
        <v>54789</v>
      </c>
    </row>
    <row r="7" spans="1:40" hidden="1" outlineLevel="2" x14ac:dyDescent="0.2">
      <c r="A7" s="62"/>
      <c r="B7" s="62"/>
      <c r="C7" s="62" t="str">
        <f>Timing!C7</f>
        <v>End Date</v>
      </c>
      <c r="D7" s="62"/>
      <c r="E7" s="62"/>
      <c r="F7" s="62"/>
      <c r="G7" s="62"/>
      <c r="H7" s="62"/>
      <c r="I7" s="62"/>
      <c r="J7" s="43">
        <f ca="1">Timing!J7</f>
        <v>44561</v>
      </c>
      <c r="K7" s="43">
        <f ca="1">Timing!K7</f>
        <v>44926</v>
      </c>
      <c r="L7" s="43">
        <f ca="1">Timing!L7</f>
        <v>45291</v>
      </c>
      <c r="M7" s="43">
        <f ca="1">Timing!M7</f>
        <v>45657</v>
      </c>
      <c r="N7" s="43">
        <f ca="1">Timing!N7</f>
        <v>46022</v>
      </c>
      <c r="O7" s="43">
        <f ca="1">Timing!O7</f>
        <v>46387</v>
      </c>
      <c r="P7" s="43">
        <f ca="1">Timing!P7</f>
        <v>46752</v>
      </c>
      <c r="Q7" s="43">
        <f ca="1">Timing!Q7</f>
        <v>47118</v>
      </c>
      <c r="R7" s="43">
        <f ca="1">Timing!R7</f>
        <v>47483</v>
      </c>
      <c r="S7" s="43">
        <f ca="1">Timing!S7</f>
        <v>47848</v>
      </c>
      <c r="T7" s="43">
        <f ca="1">Timing!T7</f>
        <v>48213</v>
      </c>
      <c r="U7" s="43">
        <f ca="1">Timing!U7</f>
        <v>48579</v>
      </c>
      <c r="V7" s="43">
        <f ca="1">Timing!V7</f>
        <v>48944</v>
      </c>
      <c r="W7" s="43">
        <f ca="1">Timing!W7</f>
        <v>49309</v>
      </c>
      <c r="X7" s="43">
        <f ca="1">Timing!X7</f>
        <v>49674</v>
      </c>
      <c r="Y7" s="43">
        <f ca="1">Timing!Y7</f>
        <v>50040</v>
      </c>
      <c r="Z7" s="43">
        <f ca="1">Timing!Z7</f>
        <v>50405</v>
      </c>
      <c r="AA7" s="43">
        <f ca="1">Timing!AA7</f>
        <v>50770</v>
      </c>
      <c r="AB7" s="43">
        <f ca="1">Timing!AB7</f>
        <v>51135</v>
      </c>
      <c r="AC7" s="43">
        <f ca="1">Timing!AC7</f>
        <v>51501</v>
      </c>
      <c r="AD7" s="43">
        <f ca="1">Timing!AD7</f>
        <v>51866</v>
      </c>
      <c r="AE7" s="43">
        <f ca="1">Timing!AE7</f>
        <v>52231</v>
      </c>
      <c r="AF7" s="43">
        <f ca="1">Timing!AF7</f>
        <v>52596</v>
      </c>
      <c r="AG7" s="43">
        <f ca="1">Timing!AG7</f>
        <v>52962</v>
      </c>
      <c r="AH7" s="43">
        <f ca="1">Timing!AH7</f>
        <v>53327</v>
      </c>
      <c r="AI7" s="43">
        <f ca="1">Timing!AI7</f>
        <v>53692</v>
      </c>
      <c r="AJ7" s="43">
        <f ca="1">Timing!AJ7</f>
        <v>54057</v>
      </c>
      <c r="AK7" s="43">
        <f ca="1">Timing!AK7</f>
        <v>54423</v>
      </c>
      <c r="AL7" s="43">
        <f ca="1">Timing!AL7</f>
        <v>54788</v>
      </c>
      <c r="AM7" s="43">
        <f ca="1">Timing!AM7</f>
        <v>55153</v>
      </c>
    </row>
    <row r="8" spans="1:40" hidden="1" outlineLevel="2" x14ac:dyDescent="0.2">
      <c r="A8" s="62"/>
      <c r="B8" s="62"/>
      <c r="C8" s="62" t="str">
        <f>Timing!C8</f>
        <v>Number of Days</v>
      </c>
      <c r="D8" s="62"/>
      <c r="E8" s="62"/>
      <c r="F8" s="62"/>
      <c r="G8" s="62"/>
      <c r="H8" s="62"/>
      <c r="I8" s="62"/>
      <c r="J8" s="39">
        <f ca="1">Timing!J8</f>
        <v>365</v>
      </c>
      <c r="K8" s="39">
        <f ca="1">Timing!K8</f>
        <v>365</v>
      </c>
      <c r="L8" s="39">
        <f ca="1">Timing!L8</f>
        <v>365</v>
      </c>
      <c r="M8" s="39">
        <f ca="1">Timing!M8</f>
        <v>366</v>
      </c>
      <c r="N8" s="39">
        <f ca="1">Timing!N8</f>
        <v>365</v>
      </c>
      <c r="O8" s="39">
        <f ca="1">Timing!O8</f>
        <v>365</v>
      </c>
      <c r="P8" s="39">
        <f ca="1">Timing!P8</f>
        <v>365</v>
      </c>
      <c r="Q8" s="39">
        <f ca="1">Timing!Q8</f>
        <v>366</v>
      </c>
      <c r="R8" s="39">
        <f ca="1">Timing!R8</f>
        <v>365</v>
      </c>
      <c r="S8" s="39">
        <f ca="1">Timing!S8</f>
        <v>365</v>
      </c>
      <c r="T8" s="39">
        <f ca="1">Timing!T8</f>
        <v>365</v>
      </c>
      <c r="U8" s="39">
        <f ca="1">Timing!U8</f>
        <v>366</v>
      </c>
      <c r="V8" s="39">
        <f ca="1">Timing!V8</f>
        <v>365</v>
      </c>
      <c r="W8" s="39">
        <f ca="1">Timing!W8</f>
        <v>365</v>
      </c>
      <c r="X8" s="39">
        <f ca="1">Timing!X8</f>
        <v>365</v>
      </c>
      <c r="Y8" s="39">
        <f ca="1">Timing!Y8</f>
        <v>366</v>
      </c>
      <c r="Z8" s="39">
        <f ca="1">Timing!Z8</f>
        <v>365</v>
      </c>
      <c r="AA8" s="39">
        <f ca="1">Timing!AA8</f>
        <v>365</v>
      </c>
      <c r="AB8" s="39">
        <f ca="1">Timing!AB8</f>
        <v>365</v>
      </c>
      <c r="AC8" s="39">
        <f ca="1">Timing!AC8</f>
        <v>366</v>
      </c>
      <c r="AD8" s="39">
        <f ca="1">Timing!AD8</f>
        <v>365</v>
      </c>
      <c r="AE8" s="39">
        <f ca="1">Timing!AE8</f>
        <v>365</v>
      </c>
      <c r="AF8" s="39">
        <f ca="1">Timing!AF8</f>
        <v>365</v>
      </c>
      <c r="AG8" s="39">
        <f ca="1">Timing!AG8</f>
        <v>366</v>
      </c>
      <c r="AH8" s="39">
        <f ca="1">Timing!AH8</f>
        <v>365</v>
      </c>
      <c r="AI8" s="39">
        <f ca="1">Timing!AI8</f>
        <v>365</v>
      </c>
      <c r="AJ8" s="39">
        <f ca="1">Timing!AJ8</f>
        <v>365</v>
      </c>
      <c r="AK8" s="39">
        <f ca="1">Timing!AK8</f>
        <v>366</v>
      </c>
      <c r="AL8" s="39">
        <f ca="1">Timing!AL8</f>
        <v>365</v>
      </c>
      <c r="AM8" s="39">
        <f ca="1">Timing!AM8</f>
        <v>365</v>
      </c>
    </row>
    <row r="9" spans="1:40" hidden="1" outlineLevel="2" x14ac:dyDescent="0.2">
      <c r="A9" s="62"/>
      <c r="B9" s="62"/>
      <c r="C9" s="62" t="str">
        <f>Timing!C9</f>
        <v>Counter</v>
      </c>
      <c r="D9" s="62"/>
      <c r="E9" s="62"/>
      <c r="F9" s="62"/>
      <c r="G9" s="62"/>
      <c r="H9" s="62"/>
      <c r="I9" s="62"/>
      <c r="J9" s="39">
        <f>Timing!J9</f>
        <v>1</v>
      </c>
      <c r="K9" s="39">
        <f>Timing!K9</f>
        <v>2</v>
      </c>
      <c r="L9" s="39">
        <f>Timing!L9</f>
        <v>3</v>
      </c>
      <c r="M9" s="39">
        <f>Timing!M9</f>
        <v>4</v>
      </c>
      <c r="N9" s="39">
        <f>Timing!N9</f>
        <v>5</v>
      </c>
      <c r="O9" s="39">
        <f>Timing!O9</f>
        <v>6</v>
      </c>
      <c r="P9" s="39">
        <f>Timing!P9</f>
        <v>7</v>
      </c>
      <c r="Q9" s="39">
        <f>Timing!Q9</f>
        <v>8</v>
      </c>
      <c r="R9" s="39">
        <f>Timing!R9</f>
        <v>9</v>
      </c>
      <c r="S9" s="39">
        <f>Timing!S9</f>
        <v>10</v>
      </c>
      <c r="T9" s="39">
        <f>Timing!T9</f>
        <v>11</v>
      </c>
      <c r="U9" s="39">
        <f>Timing!U9</f>
        <v>12</v>
      </c>
      <c r="V9" s="39">
        <f>Timing!V9</f>
        <v>13</v>
      </c>
      <c r="W9" s="39">
        <f>Timing!W9</f>
        <v>14</v>
      </c>
      <c r="X9" s="39">
        <f>Timing!X9</f>
        <v>15</v>
      </c>
      <c r="Y9" s="39">
        <f>Timing!Y9</f>
        <v>16</v>
      </c>
      <c r="Z9" s="39">
        <f>Timing!Z9</f>
        <v>17</v>
      </c>
      <c r="AA9" s="39">
        <f>Timing!AA9</f>
        <v>18</v>
      </c>
      <c r="AB9" s="39">
        <f>Timing!AB9</f>
        <v>19</v>
      </c>
      <c r="AC9" s="39">
        <f>Timing!AC9</f>
        <v>20</v>
      </c>
      <c r="AD9" s="39">
        <f>Timing!AD9</f>
        <v>21</v>
      </c>
      <c r="AE9" s="39">
        <f>Timing!AE9</f>
        <v>22</v>
      </c>
      <c r="AF9" s="39">
        <f>Timing!AF9</f>
        <v>23</v>
      </c>
      <c r="AG9" s="39">
        <f>Timing!AG9</f>
        <v>24</v>
      </c>
      <c r="AH9" s="39">
        <f>Timing!AH9</f>
        <v>25</v>
      </c>
      <c r="AI9" s="39">
        <f>Timing!AI9</f>
        <v>26</v>
      </c>
      <c r="AJ9" s="39">
        <f>Timing!AJ9</f>
        <v>27</v>
      </c>
      <c r="AK9" s="39">
        <f>Timing!AK9</f>
        <v>28</v>
      </c>
      <c r="AL9" s="39">
        <f>Timing!AL9</f>
        <v>29</v>
      </c>
      <c r="AM9" s="39">
        <f>Timing!AM9</f>
        <v>30</v>
      </c>
    </row>
    <row r="10" spans="1:40" x14ac:dyDescent="0.2">
      <c r="A10" s="61"/>
      <c r="B10" s="62"/>
      <c r="C10" s="62"/>
      <c r="D10" s="62"/>
      <c r="E10" s="62"/>
      <c r="F10" s="62"/>
      <c r="G10" s="62"/>
      <c r="H10" s="62"/>
      <c r="I10" s="62"/>
      <c r="J10" s="62"/>
      <c r="K10" s="62"/>
    </row>
    <row r="11" spans="1:40" ht="16.5" thickBot="1" x14ac:dyDescent="0.3">
      <c r="A11" s="62"/>
      <c r="B11" s="51">
        <f>MAX($B$10:$B10)+1</f>
        <v>1</v>
      </c>
      <c r="C11" s="46" t="s">
        <v>68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</row>
    <row r="12" spans="1:40" ht="12.75" outlineLevel="1" thickTop="1" x14ac:dyDescent="0.2">
      <c r="A12" s="62"/>
      <c r="B12" s="62"/>
      <c r="C12" s="62"/>
      <c r="D12" s="62"/>
      <c r="E12" s="62"/>
      <c r="F12" s="62"/>
      <c r="G12" s="62"/>
      <c r="H12" s="62"/>
      <c r="I12" s="62"/>
      <c r="J12" s="62"/>
      <c r="K12" s="62"/>
    </row>
    <row r="13" spans="1:40" ht="16.5" outlineLevel="1" x14ac:dyDescent="0.25">
      <c r="A13" s="62"/>
      <c r="B13" s="62"/>
      <c r="C13" s="4" t="s">
        <v>83</v>
      </c>
      <c r="D13" s="62"/>
      <c r="E13" s="62"/>
      <c r="F13" s="62"/>
      <c r="G13" s="62"/>
      <c r="H13" s="62"/>
      <c r="I13" s="62"/>
      <c r="J13" s="62"/>
      <c r="K13" s="62"/>
    </row>
    <row r="14" spans="1:40" outlineLevel="1" x14ac:dyDescent="0.2"/>
    <row r="15" spans="1:40" outlineLevel="1" x14ac:dyDescent="0.2">
      <c r="E15" t="s">
        <v>84</v>
      </c>
      <c r="G15" s="37" t="s">
        <v>89</v>
      </c>
      <c r="I15" s="65">
        <v>0.05</v>
      </c>
    </row>
    <row r="16" spans="1:40" outlineLevel="1" x14ac:dyDescent="0.2"/>
    <row r="17" spans="2:40" outlineLevel="1" x14ac:dyDescent="0.2">
      <c r="E17" t="s">
        <v>85</v>
      </c>
      <c r="G17" s="37" t="s">
        <v>89</v>
      </c>
      <c r="I17" s="65">
        <v>0.02</v>
      </c>
    </row>
    <row r="18" spans="2:40" outlineLevel="1" x14ac:dyDescent="0.2"/>
    <row r="19" spans="2:40" outlineLevel="1" x14ac:dyDescent="0.2">
      <c r="E19" t="s">
        <v>86</v>
      </c>
      <c r="G19" s="37" t="s">
        <v>90</v>
      </c>
      <c r="I19" s="69" t="s">
        <v>95</v>
      </c>
    </row>
    <row r="20" spans="2:40" outlineLevel="1" x14ac:dyDescent="0.2"/>
    <row r="21" spans="2:40" outlineLevel="1" x14ac:dyDescent="0.2">
      <c r="E21" t="s">
        <v>87</v>
      </c>
      <c r="G21" s="37" t="s">
        <v>91</v>
      </c>
      <c r="J21" s="67">
        <v>312</v>
      </c>
      <c r="K21" s="67">
        <v>436</v>
      </c>
      <c r="L21" s="67">
        <v>586</v>
      </c>
      <c r="M21" s="67">
        <v>866</v>
      </c>
      <c r="N21" s="67">
        <v>352</v>
      </c>
      <c r="O21" s="67">
        <v>834</v>
      </c>
      <c r="P21" s="67">
        <v>327</v>
      </c>
      <c r="Q21" s="67">
        <v>601</v>
      </c>
      <c r="R21" s="67">
        <v>354</v>
      </c>
      <c r="S21" s="67">
        <v>556</v>
      </c>
      <c r="T21" s="67"/>
      <c r="U21" s="67"/>
      <c r="V21" s="67"/>
      <c r="W21" s="67"/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</row>
    <row r="22" spans="2:40" outlineLevel="1" x14ac:dyDescent="0.2"/>
    <row r="23" spans="2:40" outlineLevel="1" x14ac:dyDescent="0.2">
      <c r="E23" t="s">
        <v>97</v>
      </c>
      <c r="G23" s="64" t="s">
        <v>92</v>
      </c>
      <c r="I23" s="68">
        <f>IFERROR(MATCH(TRUE,INDEX(Capex_Profile&lt;&gt;0,),0),1)</f>
        <v>1</v>
      </c>
    </row>
    <row r="24" spans="2:40" outlineLevel="1" x14ac:dyDescent="0.2"/>
    <row r="25" spans="2:40" outlineLevel="1" x14ac:dyDescent="0.2">
      <c r="E25" t="s">
        <v>98</v>
      </c>
      <c r="G25" s="64" t="s">
        <v>92</v>
      </c>
      <c r="I25" s="68">
        <f t="array" ref="I25">MAX(IF(Capex_Profile&gt;0,LU_Counter))</f>
        <v>10</v>
      </c>
    </row>
    <row r="26" spans="2:40" outlineLevel="1" x14ac:dyDescent="0.2"/>
    <row r="27" spans="2:40" outlineLevel="1" x14ac:dyDescent="0.2">
      <c r="E27" t="s">
        <v>88</v>
      </c>
      <c r="G27" s="64" t="s">
        <v>92</v>
      </c>
      <c r="I27" s="36">
        <f>Final_Period-Start_Period+1</f>
        <v>10</v>
      </c>
    </row>
    <row r="28" spans="2:40" outlineLevel="1" x14ac:dyDescent="0.2"/>
    <row r="29" spans="2:40" outlineLevel="1" x14ac:dyDescent="0.2"/>
    <row r="30" spans="2:40" s="62" customFormat="1" ht="16.5" thickBot="1" x14ac:dyDescent="0.3">
      <c r="B30" s="51">
        <f>MAX($B$10:$B29)+1</f>
        <v>2</v>
      </c>
      <c r="C30" s="46" t="s">
        <v>99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</row>
    <row r="31" spans="2:40" s="62" customFormat="1" ht="12.75" outlineLevel="1" thickTop="1" x14ac:dyDescent="0.2"/>
    <row r="32" spans="2:40" s="62" customFormat="1" ht="16.5" outlineLevel="1" x14ac:dyDescent="0.25">
      <c r="C32" s="4" t="s">
        <v>100</v>
      </c>
    </row>
    <row r="33" spans="2:40" outlineLevel="1" x14ac:dyDescent="0.2"/>
    <row r="34" spans="2:40" ht="15" outlineLevel="1" x14ac:dyDescent="0.25">
      <c r="D34" s="5" t="str">
        <f>C30&amp;" Selection"</f>
        <v>Discount Factor Selection</v>
      </c>
    </row>
    <row r="35" spans="2:40" outlineLevel="1" x14ac:dyDescent="0.2"/>
    <row r="36" spans="2:40" outlineLevel="1" x14ac:dyDescent="0.2">
      <c r="E36" s="70" t="s">
        <v>101</v>
      </c>
      <c r="F36" s="62"/>
      <c r="G36" s="62"/>
      <c r="H36" s="62"/>
      <c r="I36" s="62"/>
      <c r="J36" s="62"/>
      <c r="K36" s="62"/>
    </row>
    <row r="37" spans="2:40" outlineLevel="1" x14ac:dyDescent="0.2">
      <c r="E37" s="62" t="str">
        <f>Start</f>
        <v>Start</v>
      </c>
      <c r="F37" s="71"/>
      <c r="G37" s="64" t="s">
        <v>107</v>
      </c>
      <c r="H37" s="62"/>
      <c r="I37" s="62"/>
      <c r="J37" s="72">
        <f t="shared" ref="J37:AM37" si="0">IF(AND(J$9&gt;=Start_Period,J$9&lt;=Final_Period),(1+Discount_Rate)^-(J$9-Start_Period),"")</f>
        <v>1</v>
      </c>
      <c r="K37" s="72">
        <f t="shared" si="0"/>
        <v>0.95238095238095233</v>
      </c>
      <c r="L37" s="72">
        <f t="shared" si="0"/>
        <v>0.90702947845804982</v>
      </c>
      <c r="M37" s="72">
        <f t="shared" si="0"/>
        <v>0.86383759853147601</v>
      </c>
      <c r="N37" s="72">
        <f t="shared" si="0"/>
        <v>0.82270247479188197</v>
      </c>
      <c r="O37" s="72">
        <f t="shared" si="0"/>
        <v>0.78352616646845896</v>
      </c>
      <c r="P37" s="72">
        <f t="shared" si="0"/>
        <v>0.74621539663662761</v>
      </c>
      <c r="Q37" s="72">
        <f t="shared" si="0"/>
        <v>0.71068133013012147</v>
      </c>
      <c r="R37" s="72">
        <f t="shared" si="0"/>
        <v>0.67683936202868722</v>
      </c>
      <c r="S37" s="72">
        <f t="shared" si="0"/>
        <v>0.64460891621779726</v>
      </c>
      <c r="T37" s="72" t="str">
        <f t="shared" si="0"/>
        <v/>
      </c>
      <c r="U37" s="72" t="str">
        <f t="shared" si="0"/>
        <v/>
      </c>
      <c r="V37" s="72" t="str">
        <f t="shared" si="0"/>
        <v/>
      </c>
      <c r="W37" s="72" t="str">
        <f t="shared" si="0"/>
        <v/>
      </c>
      <c r="X37" s="72" t="str">
        <f t="shared" si="0"/>
        <v/>
      </c>
      <c r="Y37" s="72" t="str">
        <f t="shared" si="0"/>
        <v/>
      </c>
      <c r="Z37" s="72" t="str">
        <f t="shared" si="0"/>
        <v/>
      </c>
      <c r="AA37" s="72" t="str">
        <f t="shared" si="0"/>
        <v/>
      </c>
      <c r="AB37" s="72" t="str">
        <f t="shared" si="0"/>
        <v/>
      </c>
      <c r="AC37" s="72" t="str">
        <f t="shared" si="0"/>
        <v/>
      </c>
      <c r="AD37" s="72" t="str">
        <f t="shared" si="0"/>
        <v/>
      </c>
      <c r="AE37" s="72" t="str">
        <f t="shared" si="0"/>
        <v/>
      </c>
      <c r="AF37" s="72" t="str">
        <f t="shared" si="0"/>
        <v/>
      </c>
      <c r="AG37" s="72" t="str">
        <f t="shared" si="0"/>
        <v/>
      </c>
      <c r="AH37" s="72" t="str">
        <f t="shared" si="0"/>
        <v/>
      </c>
      <c r="AI37" s="72" t="str">
        <f t="shared" si="0"/>
        <v/>
      </c>
      <c r="AJ37" s="72" t="str">
        <f t="shared" si="0"/>
        <v/>
      </c>
      <c r="AK37" s="72" t="str">
        <f t="shared" si="0"/>
        <v/>
      </c>
      <c r="AL37" s="72" t="str">
        <f t="shared" si="0"/>
        <v/>
      </c>
      <c r="AM37" s="72" t="str">
        <f t="shared" si="0"/>
        <v/>
      </c>
    </row>
    <row r="38" spans="2:40" outlineLevel="1" x14ac:dyDescent="0.2">
      <c r="E38" s="62" t="str">
        <f>Middle</f>
        <v>Middle</v>
      </c>
      <c r="F38" s="71"/>
      <c r="G38" s="64" t="s">
        <v>107</v>
      </c>
      <c r="H38" s="62"/>
      <c r="I38" s="62"/>
      <c r="J38" s="72">
        <f t="shared" ref="J38:AM38" si="1">IF(AND(J$9&gt;=Start_Period,J$9&lt;=Final_Period),(1+Discount_Rate)^-(((2*J$9+1)/2)-Start_Period),"")</f>
        <v>0.97590007294853309</v>
      </c>
      <c r="K38" s="72">
        <f t="shared" si="1"/>
        <v>0.92942864090336497</v>
      </c>
      <c r="L38" s="72">
        <f t="shared" si="1"/>
        <v>0.88517013419368074</v>
      </c>
      <c r="M38" s="72">
        <f t="shared" si="1"/>
        <v>0.843019175422553</v>
      </c>
      <c r="N38" s="72">
        <f t="shared" si="1"/>
        <v>0.80287540516433631</v>
      </c>
      <c r="O38" s="72">
        <f t="shared" si="1"/>
        <v>0.7646432430136535</v>
      </c>
      <c r="P38" s="72">
        <f t="shared" si="1"/>
        <v>0.72823166001300332</v>
      </c>
      <c r="Q38" s="72">
        <f t="shared" si="1"/>
        <v>0.69355396191714602</v>
      </c>
      <c r="R38" s="72">
        <f t="shared" si="1"/>
        <v>0.66052758277823431</v>
      </c>
      <c r="S38" s="72">
        <f t="shared" si="1"/>
        <v>0.62907388836022304</v>
      </c>
      <c r="T38" s="72" t="str">
        <f t="shared" si="1"/>
        <v/>
      </c>
      <c r="U38" s="72" t="str">
        <f t="shared" si="1"/>
        <v/>
      </c>
      <c r="V38" s="72" t="str">
        <f t="shared" si="1"/>
        <v/>
      </c>
      <c r="W38" s="72" t="str">
        <f t="shared" si="1"/>
        <v/>
      </c>
      <c r="X38" s="72" t="str">
        <f t="shared" si="1"/>
        <v/>
      </c>
      <c r="Y38" s="72" t="str">
        <f t="shared" si="1"/>
        <v/>
      </c>
      <c r="Z38" s="72" t="str">
        <f t="shared" si="1"/>
        <v/>
      </c>
      <c r="AA38" s="72" t="str">
        <f t="shared" si="1"/>
        <v/>
      </c>
      <c r="AB38" s="72" t="str">
        <f t="shared" si="1"/>
        <v/>
      </c>
      <c r="AC38" s="72" t="str">
        <f t="shared" si="1"/>
        <v/>
      </c>
      <c r="AD38" s="72" t="str">
        <f t="shared" si="1"/>
        <v/>
      </c>
      <c r="AE38" s="72" t="str">
        <f t="shared" si="1"/>
        <v/>
      </c>
      <c r="AF38" s="72" t="str">
        <f t="shared" si="1"/>
        <v/>
      </c>
      <c r="AG38" s="72" t="str">
        <f t="shared" si="1"/>
        <v/>
      </c>
      <c r="AH38" s="72" t="str">
        <f t="shared" si="1"/>
        <v/>
      </c>
      <c r="AI38" s="72" t="str">
        <f t="shared" si="1"/>
        <v/>
      </c>
      <c r="AJ38" s="72" t="str">
        <f t="shared" si="1"/>
        <v/>
      </c>
      <c r="AK38" s="72" t="str">
        <f t="shared" si="1"/>
        <v/>
      </c>
      <c r="AL38" s="72" t="str">
        <f t="shared" si="1"/>
        <v/>
      </c>
      <c r="AM38" s="72" t="str">
        <f t="shared" si="1"/>
        <v/>
      </c>
    </row>
    <row r="39" spans="2:40" outlineLevel="1" x14ac:dyDescent="0.2">
      <c r="E39" s="62" t="str">
        <f>End</f>
        <v>End</v>
      </c>
      <c r="F39" s="71"/>
      <c r="G39" s="64" t="s">
        <v>107</v>
      </c>
      <c r="H39" s="62"/>
      <c r="I39" s="62"/>
      <c r="J39" s="72">
        <f t="shared" ref="J39:AM39" si="2">IF(AND(J$9&gt;=Start_Period,J$9&lt;=Final_Period),(1+Discount_Rate)^-(J$9-Start_Period+1),"")</f>
        <v>0.95238095238095233</v>
      </c>
      <c r="K39" s="72">
        <f t="shared" si="2"/>
        <v>0.90702947845804982</v>
      </c>
      <c r="L39" s="72">
        <f t="shared" si="2"/>
        <v>0.86383759853147601</v>
      </c>
      <c r="M39" s="72">
        <f t="shared" si="2"/>
        <v>0.82270247479188197</v>
      </c>
      <c r="N39" s="72">
        <f t="shared" si="2"/>
        <v>0.78352616646845896</v>
      </c>
      <c r="O39" s="72">
        <f t="shared" si="2"/>
        <v>0.74621539663662761</v>
      </c>
      <c r="P39" s="72">
        <f t="shared" si="2"/>
        <v>0.71068133013012147</v>
      </c>
      <c r="Q39" s="72">
        <f t="shared" si="2"/>
        <v>0.67683936202868722</v>
      </c>
      <c r="R39" s="72">
        <f t="shared" si="2"/>
        <v>0.64460891621779726</v>
      </c>
      <c r="S39" s="72">
        <f t="shared" si="2"/>
        <v>0.61391325354075932</v>
      </c>
      <c r="T39" s="72" t="str">
        <f t="shared" si="2"/>
        <v/>
      </c>
      <c r="U39" s="72" t="str">
        <f t="shared" si="2"/>
        <v/>
      </c>
      <c r="V39" s="72" t="str">
        <f t="shared" si="2"/>
        <v/>
      </c>
      <c r="W39" s="72" t="str">
        <f t="shared" si="2"/>
        <v/>
      </c>
      <c r="X39" s="72" t="str">
        <f t="shared" si="2"/>
        <v/>
      </c>
      <c r="Y39" s="72" t="str">
        <f t="shared" si="2"/>
        <v/>
      </c>
      <c r="Z39" s="72" t="str">
        <f t="shared" si="2"/>
        <v/>
      </c>
      <c r="AA39" s="72" t="str">
        <f t="shared" si="2"/>
        <v/>
      </c>
      <c r="AB39" s="72" t="str">
        <f t="shared" si="2"/>
        <v/>
      </c>
      <c r="AC39" s="72" t="str">
        <f t="shared" si="2"/>
        <v/>
      </c>
      <c r="AD39" s="72" t="str">
        <f t="shared" si="2"/>
        <v/>
      </c>
      <c r="AE39" s="72" t="str">
        <f t="shared" si="2"/>
        <v/>
      </c>
      <c r="AF39" s="72" t="str">
        <f t="shared" si="2"/>
        <v/>
      </c>
      <c r="AG39" s="72" t="str">
        <f t="shared" si="2"/>
        <v/>
      </c>
      <c r="AH39" s="72" t="str">
        <f t="shared" si="2"/>
        <v/>
      </c>
      <c r="AI39" s="72" t="str">
        <f t="shared" si="2"/>
        <v/>
      </c>
      <c r="AJ39" s="72" t="str">
        <f t="shared" si="2"/>
        <v/>
      </c>
      <c r="AK39" s="72" t="str">
        <f t="shared" si="2"/>
        <v/>
      </c>
      <c r="AL39" s="72" t="str">
        <f t="shared" si="2"/>
        <v/>
      </c>
      <c r="AM39" s="72" t="str">
        <f t="shared" si="2"/>
        <v/>
      </c>
    </row>
    <row r="40" spans="2:40" outlineLevel="1" x14ac:dyDescent="0.2">
      <c r="E40" s="70" t="str">
        <f>IF(Cashflow_Timing="",Middle,Cashflow_Timing)&amp;" Chosen"</f>
        <v>Middle Chosen</v>
      </c>
      <c r="F40" s="71"/>
      <c r="G40" s="64" t="s">
        <v>107</v>
      </c>
      <c r="H40" s="62"/>
      <c r="I40" s="62"/>
      <c r="J40" s="73">
        <f t="shared" ref="J40:AM40" si="3">IF(AND(J$9&gt;=Start_Period,J$9&lt;=Final_Period),IFERROR(INDEX(J37:J39,MATCH(Cashflow_Timing,LU_Cash_Flow_Timing,0)),J38),"")</f>
        <v>0.97590007294853309</v>
      </c>
      <c r="K40" s="73">
        <f t="shared" si="3"/>
        <v>0.92942864090336497</v>
      </c>
      <c r="L40" s="73">
        <f t="shared" si="3"/>
        <v>0.88517013419368074</v>
      </c>
      <c r="M40" s="73">
        <f t="shared" si="3"/>
        <v>0.843019175422553</v>
      </c>
      <c r="N40" s="73">
        <f t="shared" si="3"/>
        <v>0.80287540516433631</v>
      </c>
      <c r="O40" s="73">
        <f t="shared" si="3"/>
        <v>0.7646432430136535</v>
      </c>
      <c r="P40" s="73">
        <f t="shared" si="3"/>
        <v>0.72823166001300332</v>
      </c>
      <c r="Q40" s="73">
        <f t="shared" si="3"/>
        <v>0.69355396191714602</v>
      </c>
      <c r="R40" s="73">
        <f t="shared" si="3"/>
        <v>0.66052758277823431</v>
      </c>
      <c r="S40" s="73">
        <f t="shared" si="3"/>
        <v>0.62907388836022304</v>
      </c>
      <c r="T40" s="73" t="str">
        <f t="shared" si="3"/>
        <v/>
      </c>
      <c r="U40" s="73" t="str">
        <f t="shared" si="3"/>
        <v/>
      </c>
      <c r="V40" s="73" t="str">
        <f t="shared" si="3"/>
        <v/>
      </c>
      <c r="W40" s="73" t="str">
        <f t="shared" si="3"/>
        <v/>
      </c>
      <c r="X40" s="73" t="str">
        <f t="shared" si="3"/>
        <v/>
      </c>
      <c r="Y40" s="73" t="str">
        <f t="shared" si="3"/>
        <v/>
      </c>
      <c r="Z40" s="73" t="str">
        <f t="shared" si="3"/>
        <v/>
      </c>
      <c r="AA40" s="73" t="str">
        <f t="shared" si="3"/>
        <v/>
      </c>
      <c r="AB40" s="73" t="str">
        <f t="shared" si="3"/>
        <v/>
      </c>
      <c r="AC40" s="73" t="str">
        <f t="shared" si="3"/>
        <v/>
      </c>
      <c r="AD40" s="73" t="str">
        <f t="shared" si="3"/>
        <v/>
      </c>
      <c r="AE40" s="73" t="str">
        <f t="shared" si="3"/>
        <v/>
      </c>
      <c r="AF40" s="73" t="str">
        <f t="shared" si="3"/>
        <v/>
      </c>
      <c r="AG40" s="73" t="str">
        <f t="shared" si="3"/>
        <v/>
      </c>
      <c r="AH40" s="73" t="str">
        <f t="shared" si="3"/>
        <v/>
      </c>
      <c r="AI40" s="73" t="str">
        <f t="shared" si="3"/>
        <v/>
      </c>
      <c r="AJ40" s="73" t="str">
        <f t="shared" si="3"/>
        <v/>
      </c>
      <c r="AK40" s="73" t="str">
        <f t="shared" si="3"/>
        <v/>
      </c>
      <c r="AL40" s="73" t="str">
        <f t="shared" si="3"/>
        <v/>
      </c>
      <c r="AM40" s="73" t="str">
        <f t="shared" si="3"/>
        <v/>
      </c>
    </row>
    <row r="41" spans="2:40" outlineLevel="1" x14ac:dyDescent="0.2"/>
    <row r="42" spans="2:40" outlineLevel="1" x14ac:dyDescent="0.2"/>
    <row r="43" spans="2:40" s="62" customFormat="1" ht="16.5" thickBot="1" x14ac:dyDescent="0.3">
      <c r="B43" s="51">
        <f>MAX($B$10:$B42)+1</f>
        <v>3</v>
      </c>
      <c r="C43" s="46" t="s">
        <v>104</v>
      </c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</row>
    <row r="44" spans="2:40" s="62" customFormat="1" ht="12.75" outlineLevel="1" thickTop="1" x14ac:dyDescent="0.2"/>
    <row r="45" spans="2:40" s="62" customFormat="1" ht="16.5" outlineLevel="1" x14ac:dyDescent="0.25">
      <c r="C45" s="4" t="s">
        <v>105</v>
      </c>
    </row>
    <row r="46" spans="2:40" s="62" customFormat="1" outlineLevel="1" x14ac:dyDescent="0.2"/>
    <row r="47" spans="2:40" s="62" customFormat="1" ht="15" outlineLevel="1" x14ac:dyDescent="0.25">
      <c r="D47" s="5" t="str">
        <f>C43&amp;" Selection"</f>
        <v>Original Capex Profile Selection</v>
      </c>
    </row>
    <row r="48" spans="2:40" outlineLevel="1" x14ac:dyDescent="0.2"/>
    <row r="49" spans="2:40" outlineLevel="1" x14ac:dyDescent="0.2">
      <c r="E49" t="s">
        <v>106</v>
      </c>
      <c r="G49" s="37" t="s">
        <v>91</v>
      </c>
      <c r="J49">
        <f>IF(J$21="","",J$21)</f>
        <v>312</v>
      </c>
      <c r="K49" s="62">
        <f t="shared" ref="K49:AM49" si="4">IF(K$21="","",K$21)</f>
        <v>436</v>
      </c>
      <c r="L49" s="62">
        <f t="shared" si="4"/>
        <v>586</v>
      </c>
      <c r="M49" s="62">
        <f t="shared" si="4"/>
        <v>866</v>
      </c>
      <c r="N49" s="62">
        <f t="shared" si="4"/>
        <v>352</v>
      </c>
      <c r="O49" s="62">
        <f t="shared" si="4"/>
        <v>834</v>
      </c>
      <c r="P49" s="62">
        <f t="shared" si="4"/>
        <v>327</v>
      </c>
      <c r="Q49" s="62">
        <f t="shared" si="4"/>
        <v>601</v>
      </c>
      <c r="R49" s="62">
        <f t="shared" si="4"/>
        <v>354</v>
      </c>
      <c r="S49" s="62">
        <f t="shared" si="4"/>
        <v>556</v>
      </c>
      <c r="T49" s="62" t="str">
        <f t="shared" si="4"/>
        <v/>
      </c>
      <c r="U49" s="62" t="str">
        <f t="shared" si="4"/>
        <v/>
      </c>
      <c r="V49" s="62" t="str">
        <f t="shared" si="4"/>
        <v/>
      </c>
      <c r="W49" s="62" t="str">
        <f t="shared" si="4"/>
        <v/>
      </c>
      <c r="X49" s="62" t="str">
        <f t="shared" si="4"/>
        <v/>
      </c>
      <c r="Y49" s="62" t="str">
        <f t="shared" si="4"/>
        <v/>
      </c>
      <c r="Z49" s="62" t="str">
        <f t="shared" si="4"/>
        <v/>
      </c>
      <c r="AA49" s="62" t="str">
        <f t="shared" si="4"/>
        <v/>
      </c>
      <c r="AB49" s="62" t="str">
        <f t="shared" si="4"/>
        <v/>
      </c>
      <c r="AC49" s="62" t="str">
        <f t="shared" si="4"/>
        <v/>
      </c>
      <c r="AD49" s="62" t="str">
        <f t="shared" si="4"/>
        <v/>
      </c>
      <c r="AE49" s="62" t="str">
        <f t="shared" si="4"/>
        <v/>
      </c>
      <c r="AF49" s="62" t="str">
        <f t="shared" si="4"/>
        <v/>
      </c>
      <c r="AG49" s="62" t="str">
        <f t="shared" si="4"/>
        <v/>
      </c>
      <c r="AH49" s="62" t="str">
        <f t="shared" si="4"/>
        <v/>
      </c>
      <c r="AI49" s="62" t="str">
        <f t="shared" si="4"/>
        <v/>
      </c>
      <c r="AJ49" s="62" t="str">
        <f t="shared" si="4"/>
        <v/>
      </c>
      <c r="AK49" s="62" t="str">
        <f t="shared" si="4"/>
        <v/>
      </c>
      <c r="AL49" s="62" t="str">
        <f t="shared" si="4"/>
        <v/>
      </c>
      <c r="AM49" s="62" t="str">
        <f t="shared" si="4"/>
        <v/>
      </c>
    </row>
    <row r="50" spans="2:40" outlineLevel="1" x14ac:dyDescent="0.2"/>
    <row r="51" spans="2:40" outlineLevel="1" x14ac:dyDescent="0.2">
      <c r="E51" t="s">
        <v>99</v>
      </c>
      <c r="G51" s="64" t="s">
        <v>107</v>
      </c>
      <c r="J51" s="72">
        <f>IF(J$40="","",J$40)</f>
        <v>0.97590007294853309</v>
      </c>
      <c r="K51" s="72">
        <f t="shared" ref="K51:AM51" si="5">IF(K$40="","",K$40)</f>
        <v>0.92942864090336497</v>
      </c>
      <c r="L51" s="72">
        <f t="shared" si="5"/>
        <v>0.88517013419368074</v>
      </c>
      <c r="M51" s="72">
        <f t="shared" si="5"/>
        <v>0.843019175422553</v>
      </c>
      <c r="N51" s="72">
        <f t="shared" si="5"/>
        <v>0.80287540516433631</v>
      </c>
      <c r="O51" s="72">
        <f t="shared" si="5"/>
        <v>0.7646432430136535</v>
      </c>
      <c r="P51" s="72">
        <f t="shared" si="5"/>
        <v>0.72823166001300332</v>
      </c>
      <c r="Q51" s="72">
        <f t="shared" si="5"/>
        <v>0.69355396191714602</v>
      </c>
      <c r="R51" s="72">
        <f t="shared" si="5"/>
        <v>0.66052758277823431</v>
      </c>
      <c r="S51" s="72">
        <f t="shared" si="5"/>
        <v>0.62907388836022304</v>
      </c>
      <c r="T51" s="72" t="str">
        <f t="shared" si="5"/>
        <v/>
      </c>
      <c r="U51" s="72" t="str">
        <f t="shared" si="5"/>
        <v/>
      </c>
      <c r="V51" s="72" t="str">
        <f t="shared" si="5"/>
        <v/>
      </c>
      <c r="W51" s="72" t="str">
        <f t="shared" si="5"/>
        <v/>
      </c>
      <c r="X51" s="72" t="str">
        <f t="shared" si="5"/>
        <v/>
      </c>
      <c r="Y51" s="72" t="str">
        <f t="shared" si="5"/>
        <v/>
      </c>
      <c r="Z51" s="72" t="str">
        <f t="shared" si="5"/>
        <v/>
      </c>
      <c r="AA51" s="72" t="str">
        <f t="shared" si="5"/>
        <v/>
      </c>
      <c r="AB51" s="72" t="str">
        <f t="shared" si="5"/>
        <v/>
      </c>
      <c r="AC51" s="72" t="str">
        <f t="shared" si="5"/>
        <v/>
      </c>
      <c r="AD51" s="72" t="str">
        <f t="shared" si="5"/>
        <v/>
      </c>
      <c r="AE51" s="72" t="str">
        <f t="shared" si="5"/>
        <v/>
      </c>
      <c r="AF51" s="72" t="str">
        <f t="shared" si="5"/>
        <v/>
      </c>
      <c r="AG51" s="72" t="str">
        <f t="shared" si="5"/>
        <v/>
      </c>
      <c r="AH51" s="72" t="str">
        <f t="shared" si="5"/>
        <v/>
      </c>
      <c r="AI51" s="72" t="str">
        <f t="shared" si="5"/>
        <v/>
      </c>
      <c r="AJ51" s="72" t="str">
        <f t="shared" si="5"/>
        <v/>
      </c>
      <c r="AK51" s="72" t="str">
        <f t="shared" si="5"/>
        <v/>
      </c>
      <c r="AL51" s="72" t="str">
        <f t="shared" si="5"/>
        <v/>
      </c>
      <c r="AM51" s="72" t="str">
        <f t="shared" si="5"/>
        <v/>
      </c>
    </row>
    <row r="52" spans="2:40" outlineLevel="1" x14ac:dyDescent="0.2"/>
    <row r="53" spans="2:40" outlineLevel="1" x14ac:dyDescent="0.2">
      <c r="E53" t="s">
        <v>108</v>
      </c>
      <c r="G53" s="37" t="s">
        <v>91</v>
      </c>
      <c r="J53" s="74">
        <f>IF(J51="","",N(J49)*J51)</f>
        <v>304.48082275994233</v>
      </c>
      <c r="K53" s="74">
        <f t="shared" ref="K53:AM53" si="6">IF(K51="","",N(K49)*K51)</f>
        <v>405.23088743386711</v>
      </c>
      <c r="L53" s="74">
        <f t="shared" si="6"/>
        <v>518.7096986374969</v>
      </c>
      <c r="M53" s="74">
        <f t="shared" si="6"/>
        <v>730.05460591593089</v>
      </c>
      <c r="N53" s="74">
        <f t="shared" si="6"/>
        <v>282.61214261784636</v>
      </c>
      <c r="O53" s="74">
        <f t="shared" si="6"/>
        <v>637.71246467338699</v>
      </c>
      <c r="P53" s="74">
        <f t="shared" si="6"/>
        <v>238.13175282425209</v>
      </c>
      <c r="Q53" s="74">
        <f t="shared" si="6"/>
        <v>416.82593111220478</v>
      </c>
      <c r="R53" s="74">
        <f t="shared" si="6"/>
        <v>233.82676430349494</v>
      </c>
      <c r="S53" s="74">
        <f t="shared" si="6"/>
        <v>349.76508192828402</v>
      </c>
      <c r="T53" s="74" t="str">
        <f t="shared" si="6"/>
        <v/>
      </c>
      <c r="U53" s="74" t="str">
        <f t="shared" si="6"/>
        <v/>
      </c>
      <c r="V53" s="74" t="str">
        <f t="shared" si="6"/>
        <v/>
      </c>
      <c r="W53" s="74" t="str">
        <f t="shared" si="6"/>
        <v/>
      </c>
      <c r="X53" s="74" t="str">
        <f t="shared" si="6"/>
        <v/>
      </c>
      <c r="Y53" s="74" t="str">
        <f t="shared" si="6"/>
        <v/>
      </c>
      <c r="Z53" s="74" t="str">
        <f t="shared" si="6"/>
        <v/>
      </c>
      <c r="AA53" s="74" t="str">
        <f t="shared" si="6"/>
        <v/>
      </c>
      <c r="AB53" s="74" t="str">
        <f t="shared" si="6"/>
        <v/>
      </c>
      <c r="AC53" s="74" t="str">
        <f t="shared" si="6"/>
        <v/>
      </c>
      <c r="AD53" s="74" t="str">
        <f t="shared" si="6"/>
        <v/>
      </c>
      <c r="AE53" s="74" t="str">
        <f t="shared" si="6"/>
        <v/>
      </c>
      <c r="AF53" s="74" t="str">
        <f t="shared" si="6"/>
        <v/>
      </c>
      <c r="AG53" s="74" t="str">
        <f t="shared" si="6"/>
        <v/>
      </c>
      <c r="AH53" s="74" t="str">
        <f t="shared" si="6"/>
        <v/>
      </c>
      <c r="AI53" s="74" t="str">
        <f t="shared" si="6"/>
        <v/>
      </c>
      <c r="AJ53" s="74" t="str">
        <f t="shared" si="6"/>
        <v/>
      </c>
      <c r="AK53" s="74" t="str">
        <f t="shared" si="6"/>
        <v/>
      </c>
      <c r="AL53" s="74" t="str">
        <f t="shared" si="6"/>
        <v/>
      </c>
      <c r="AM53" s="74" t="str">
        <f t="shared" si="6"/>
        <v/>
      </c>
    </row>
    <row r="54" spans="2:40" outlineLevel="1" x14ac:dyDescent="0.2"/>
    <row r="55" spans="2:40" ht="12.75" outlineLevel="1" thickBot="1" x14ac:dyDescent="0.25">
      <c r="E55" s="70" t="str">
        <f>"N"&amp;E53</f>
        <v>NPV of Capex</v>
      </c>
      <c r="G55" s="37" t="s">
        <v>91</v>
      </c>
      <c r="I55" s="75">
        <f>SUM(J53:AM53)</f>
        <v>4117.3501522067072</v>
      </c>
    </row>
    <row r="56" spans="2:40" ht="12.75" outlineLevel="1" thickTop="1" x14ac:dyDescent="0.2"/>
    <row r="57" spans="2:40" outlineLevel="1" x14ac:dyDescent="0.2"/>
    <row r="58" spans="2:40" s="62" customFormat="1" ht="16.5" thickBot="1" x14ac:dyDescent="0.3">
      <c r="B58" s="51">
        <f>MAX($B$10:$B57)+1</f>
        <v>4</v>
      </c>
      <c r="C58" s="46" t="s">
        <v>109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</row>
    <row r="59" spans="2:40" s="62" customFormat="1" ht="12.75" outlineLevel="1" thickTop="1" x14ac:dyDescent="0.2"/>
    <row r="60" spans="2:40" s="62" customFormat="1" ht="16.5" outlineLevel="1" x14ac:dyDescent="0.25">
      <c r="C60" s="4" t="str">
        <f>C45</f>
        <v>NPV Demonstration</v>
      </c>
    </row>
    <row r="61" spans="2:40" s="62" customFormat="1" outlineLevel="1" x14ac:dyDescent="0.2"/>
    <row r="62" spans="2:40" s="62" customFormat="1" ht="15" outlineLevel="1" x14ac:dyDescent="0.25">
      <c r="D62" s="5" t="str">
        <f>C58&amp;" Selection"</f>
        <v>Smoothed Capex Profile Selection</v>
      </c>
    </row>
    <row r="63" spans="2:40" s="62" customFormat="1" outlineLevel="1" x14ac:dyDescent="0.2"/>
    <row r="64" spans="2:40" s="62" customFormat="1" outlineLevel="1" x14ac:dyDescent="0.2">
      <c r="E64" s="62" t="s">
        <v>110</v>
      </c>
      <c r="G64" s="64" t="s">
        <v>107</v>
      </c>
      <c r="I64" s="76">
        <f>(1+Growth_Rate)/(1+Discount_Rate)</f>
        <v>0.97142857142857142</v>
      </c>
    </row>
    <row r="65" spans="5:39" s="62" customFormat="1" outlineLevel="1" x14ac:dyDescent="0.2"/>
    <row r="66" spans="5:39" s="62" customFormat="1" outlineLevel="1" x14ac:dyDescent="0.2">
      <c r="H66" s="63" t="s">
        <v>112</v>
      </c>
      <c r="I66" s="63" t="s">
        <v>113</v>
      </c>
    </row>
    <row r="67" spans="5:39" s="62" customFormat="1" outlineLevel="1" x14ac:dyDescent="0.2">
      <c r="E67" s="62" t="str">
        <f>E19</f>
        <v>Cashflow Timing</v>
      </c>
      <c r="G67" s="37" t="str">
        <f>G19</f>
        <v>[0,0.5,1]</v>
      </c>
      <c r="H67" s="78" t="str">
        <f>IF(I$19="",Middle,I$19)</f>
        <v>Middle</v>
      </c>
      <c r="I67" s="79">
        <f>INDEX(LU_Cash_Flow_Timing_Factors,MATCH(H67,LU_Cash_Flow_Timing,0))</f>
        <v>0.5</v>
      </c>
    </row>
    <row r="68" spans="5:39" s="62" customFormat="1" outlineLevel="1" x14ac:dyDescent="0.2"/>
    <row r="69" spans="5:39" s="62" customFormat="1" outlineLevel="1" x14ac:dyDescent="0.2">
      <c r="E69" s="62" t="s">
        <v>111</v>
      </c>
      <c r="G69" s="37" t="s">
        <v>91</v>
      </c>
      <c r="I69" s="77">
        <f>(NPV_of_Original_Capex_Profile*(1-Base_Exponent)/(1-(Base_Exponent^Number_of_Periods)))*(1+Discount_Rate)^Timing_Factor</f>
        <v>479.02619260973967</v>
      </c>
    </row>
    <row r="70" spans="5:39" s="62" customFormat="1" outlineLevel="1" x14ac:dyDescent="0.2"/>
    <row r="71" spans="5:39" s="62" customFormat="1" outlineLevel="1" x14ac:dyDescent="0.2">
      <c r="E71" s="62" t="s">
        <v>106</v>
      </c>
      <c r="G71" s="37" t="s">
        <v>91</v>
      </c>
      <c r="J71" s="40">
        <f t="shared" ref="J71:AM71" si="7">IF(OR(J$9&lt;Start_Period,J$9&gt;Final_Period),"",IF(J$9=Start_Period,$I69,I71*(1+Growth_Rate)))</f>
        <v>479.02619260973967</v>
      </c>
      <c r="K71" s="40">
        <f t="shared" si="7"/>
        <v>488.60671646193447</v>
      </c>
      <c r="L71" s="40">
        <f t="shared" si="7"/>
        <v>498.37885079117319</v>
      </c>
      <c r="M71" s="40">
        <f t="shared" si="7"/>
        <v>508.34642780699664</v>
      </c>
      <c r="N71" s="40">
        <f t="shared" si="7"/>
        <v>518.51335636313661</v>
      </c>
      <c r="O71" s="40">
        <f t="shared" si="7"/>
        <v>528.88362349039937</v>
      </c>
      <c r="P71" s="40">
        <f t="shared" si="7"/>
        <v>539.46129596020739</v>
      </c>
      <c r="Q71" s="40">
        <f t="shared" si="7"/>
        <v>550.25052187941151</v>
      </c>
      <c r="R71" s="40">
        <f t="shared" si="7"/>
        <v>561.25553231699973</v>
      </c>
      <c r="S71" s="40">
        <f t="shared" si="7"/>
        <v>572.48064296333973</v>
      </c>
      <c r="T71" s="40" t="str">
        <f t="shared" si="7"/>
        <v/>
      </c>
      <c r="U71" s="40" t="str">
        <f t="shared" si="7"/>
        <v/>
      </c>
      <c r="V71" s="40" t="str">
        <f t="shared" si="7"/>
        <v/>
      </c>
      <c r="W71" s="40" t="str">
        <f t="shared" si="7"/>
        <v/>
      </c>
      <c r="X71" s="40" t="str">
        <f t="shared" si="7"/>
        <v/>
      </c>
      <c r="Y71" s="40" t="str">
        <f t="shared" si="7"/>
        <v/>
      </c>
      <c r="Z71" s="40" t="str">
        <f t="shared" si="7"/>
        <v/>
      </c>
      <c r="AA71" s="40" t="str">
        <f t="shared" si="7"/>
        <v/>
      </c>
      <c r="AB71" s="40" t="str">
        <f t="shared" si="7"/>
        <v/>
      </c>
      <c r="AC71" s="40" t="str">
        <f t="shared" si="7"/>
        <v/>
      </c>
      <c r="AD71" s="40" t="str">
        <f t="shared" si="7"/>
        <v/>
      </c>
      <c r="AE71" s="40" t="str">
        <f t="shared" si="7"/>
        <v/>
      </c>
      <c r="AF71" s="40" t="str">
        <f t="shared" si="7"/>
        <v/>
      </c>
      <c r="AG71" s="40" t="str">
        <f t="shared" si="7"/>
        <v/>
      </c>
      <c r="AH71" s="40" t="str">
        <f t="shared" si="7"/>
        <v/>
      </c>
      <c r="AI71" s="40" t="str">
        <f t="shared" si="7"/>
        <v/>
      </c>
      <c r="AJ71" s="40" t="str">
        <f t="shared" si="7"/>
        <v/>
      </c>
      <c r="AK71" s="40" t="str">
        <f t="shared" si="7"/>
        <v/>
      </c>
      <c r="AL71" s="40" t="str">
        <f t="shared" si="7"/>
        <v/>
      </c>
      <c r="AM71" s="40" t="str">
        <f t="shared" si="7"/>
        <v/>
      </c>
    </row>
    <row r="72" spans="5:39" s="62" customFormat="1" outlineLevel="1" x14ac:dyDescent="0.2"/>
    <row r="73" spans="5:39" s="62" customFormat="1" outlineLevel="1" x14ac:dyDescent="0.2">
      <c r="E73" s="62" t="s">
        <v>99</v>
      </c>
      <c r="G73" s="64" t="s">
        <v>107</v>
      </c>
      <c r="J73" s="72">
        <f>IF(J$40="","",J$40)</f>
        <v>0.97590007294853309</v>
      </c>
      <c r="K73" s="72">
        <f t="shared" ref="K73:AM73" si="8">IF(K$40="","",K$40)</f>
        <v>0.92942864090336497</v>
      </c>
      <c r="L73" s="72">
        <f t="shared" si="8"/>
        <v>0.88517013419368074</v>
      </c>
      <c r="M73" s="72">
        <f t="shared" si="8"/>
        <v>0.843019175422553</v>
      </c>
      <c r="N73" s="72">
        <f t="shared" si="8"/>
        <v>0.80287540516433631</v>
      </c>
      <c r="O73" s="72">
        <f t="shared" si="8"/>
        <v>0.7646432430136535</v>
      </c>
      <c r="P73" s="72">
        <f t="shared" si="8"/>
        <v>0.72823166001300332</v>
      </c>
      <c r="Q73" s="72">
        <f t="shared" si="8"/>
        <v>0.69355396191714602</v>
      </c>
      <c r="R73" s="72">
        <f t="shared" si="8"/>
        <v>0.66052758277823431</v>
      </c>
      <c r="S73" s="72">
        <f t="shared" si="8"/>
        <v>0.62907388836022304</v>
      </c>
      <c r="T73" s="72" t="str">
        <f t="shared" si="8"/>
        <v/>
      </c>
      <c r="U73" s="72" t="str">
        <f t="shared" si="8"/>
        <v/>
      </c>
      <c r="V73" s="72" t="str">
        <f t="shared" si="8"/>
        <v/>
      </c>
      <c r="W73" s="72" t="str">
        <f t="shared" si="8"/>
        <v/>
      </c>
      <c r="X73" s="72" t="str">
        <f t="shared" si="8"/>
        <v/>
      </c>
      <c r="Y73" s="72" t="str">
        <f t="shared" si="8"/>
        <v/>
      </c>
      <c r="Z73" s="72" t="str">
        <f t="shared" si="8"/>
        <v/>
      </c>
      <c r="AA73" s="72" t="str">
        <f t="shared" si="8"/>
        <v/>
      </c>
      <c r="AB73" s="72" t="str">
        <f t="shared" si="8"/>
        <v/>
      </c>
      <c r="AC73" s="72" t="str">
        <f t="shared" si="8"/>
        <v/>
      </c>
      <c r="AD73" s="72" t="str">
        <f t="shared" si="8"/>
        <v/>
      </c>
      <c r="AE73" s="72" t="str">
        <f t="shared" si="8"/>
        <v/>
      </c>
      <c r="AF73" s="72" t="str">
        <f t="shared" si="8"/>
        <v/>
      </c>
      <c r="AG73" s="72" t="str">
        <f t="shared" si="8"/>
        <v/>
      </c>
      <c r="AH73" s="72" t="str">
        <f t="shared" si="8"/>
        <v/>
      </c>
      <c r="AI73" s="72" t="str">
        <f t="shared" si="8"/>
        <v/>
      </c>
      <c r="AJ73" s="72" t="str">
        <f t="shared" si="8"/>
        <v/>
      </c>
      <c r="AK73" s="72" t="str">
        <f t="shared" si="8"/>
        <v/>
      </c>
      <c r="AL73" s="72" t="str">
        <f t="shared" si="8"/>
        <v/>
      </c>
      <c r="AM73" s="72" t="str">
        <f t="shared" si="8"/>
        <v/>
      </c>
    </row>
    <row r="74" spans="5:39" s="62" customFormat="1" outlineLevel="1" x14ac:dyDescent="0.2"/>
    <row r="75" spans="5:39" s="62" customFormat="1" outlineLevel="1" x14ac:dyDescent="0.2">
      <c r="E75" s="62" t="s">
        <v>108</v>
      </c>
      <c r="G75" s="37" t="s">
        <v>91</v>
      </c>
      <c r="J75" s="74">
        <f>IF(J73="","",N(J71)*J73)</f>
        <v>467.481696312103</v>
      </c>
      <c r="K75" s="74">
        <f t="shared" ref="K75:AM75" si="9">IF(K73="","",N(K71)*K73)</f>
        <v>454.12507641747158</v>
      </c>
      <c r="L75" s="74">
        <f t="shared" si="9"/>
        <v>441.15007423411515</v>
      </c>
      <c r="M75" s="74">
        <f t="shared" si="9"/>
        <v>428.54578639885466</v>
      </c>
      <c r="N75" s="74">
        <f t="shared" si="9"/>
        <v>416.30162107317318</v>
      </c>
      <c r="O75" s="74">
        <f t="shared" si="9"/>
        <v>404.40728904251108</v>
      </c>
      <c r="P75" s="74">
        <f t="shared" si="9"/>
        <v>392.85279506986791</v>
      </c>
      <c r="Q75" s="74">
        <f t="shared" si="9"/>
        <v>381.62842949644312</v>
      </c>
      <c r="R75" s="74">
        <f t="shared" si="9"/>
        <v>370.72476008225902</v>
      </c>
      <c r="S75" s="74">
        <f t="shared" si="9"/>
        <v>360.13262407990868</v>
      </c>
      <c r="T75" s="74" t="str">
        <f t="shared" si="9"/>
        <v/>
      </c>
      <c r="U75" s="74" t="str">
        <f t="shared" si="9"/>
        <v/>
      </c>
      <c r="V75" s="74" t="str">
        <f t="shared" si="9"/>
        <v/>
      </c>
      <c r="W75" s="74" t="str">
        <f t="shared" si="9"/>
        <v/>
      </c>
      <c r="X75" s="74" t="str">
        <f t="shared" si="9"/>
        <v/>
      </c>
      <c r="Y75" s="74" t="str">
        <f t="shared" si="9"/>
        <v/>
      </c>
      <c r="Z75" s="74" t="str">
        <f t="shared" si="9"/>
        <v/>
      </c>
      <c r="AA75" s="74" t="str">
        <f t="shared" si="9"/>
        <v/>
      </c>
      <c r="AB75" s="74" t="str">
        <f t="shared" si="9"/>
        <v/>
      </c>
      <c r="AC75" s="74" t="str">
        <f t="shared" si="9"/>
        <v/>
      </c>
      <c r="AD75" s="74" t="str">
        <f t="shared" si="9"/>
        <v/>
      </c>
      <c r="AE75" s="74" t="str">
        <f t="shared" si="9"/>
        <v/>
      </c>
      <c r="AF75" s="74" t="str">
        <f t="shared" si="9"/>
        <v/>
      </c>
      <c r="AG75" s="74" t="str">
        <f t="shared" si="9"/>
        <v/>
      </c>
      <c r="AH75" s="74" t="str">
        <f t="shared" si="9"/>
        <v/>
      </c>
      <c r="AI75" s="74" t="str">
        <f t="shared" si="9"/>
        <v/>
      </c>
      <c r="AJ75" s="74" t="str">
        <f t="shared" si="9"/>
        <v/>
      </c>
      <c r="AK75" s="74" t="str">
        <f t="shared" si="9"/>
        <v/>
      </c>
      <c r="AL75" s="74" t="str">
        <f t="shared" si="9"/>
        <v/>
      </c>
      <c r="AM75" s="74" t="str">
        <f t="shared" si="9"/>
        <v/>
      </c>
    </row>
    <row r="76" spans="5:39" s="62" customFormat="1" outlineLevel="1" x14ac:dyDescent="0.2"/>
    <row r="77" spans="5:39" s="62" customFormat="1" ht="12.75" outlineLevel="1" thickBot="1" x14ac:dyDescent="0.25">
      <c r="E77" s="70" t="str">
        <f>"N"&amp;E75</f>
        <v>NPV of Capex</v>
      </c>
      <c r="G77" s="37" t="s">
        <v>91</v>
      </c>
      <c r="H77" s="80">
        <f>(ROUND(NPV_of_Original_Capex_Profile-NPV_of_Smoothed_Capex_Profile,Rounding_Accuracy)&lt;&gt;0)*1</f>
        <v>0</v>
      </c>
      <c r="I77" s="75">
        <f>SUM(J75:AM75)</f>
        <v>4117.3501522067072</v>
      </c>
    </row>
    <row r="78" spans="5:39" ht="12.75" outlineLevel="1" thickTop="1" x14ac:dyDescent="0.2"/>
    <row r="79" spans="5:39" outlineLevel="1" x14ac:dyDescent="0.2"/>
  </sheetData>
  <mergeCells count="2">
    <mergeCell ref="I1:J1"/>
    <mergeCell ref="A3:E3"/>
  </mergeCells>
  <conditionalFormatting sqref="G4">
    <cfRule type="cellIs" dxfId="12" priority="7" operator="notEqual">
      <formula>0</formula>
    </cfRule>
  </conditionalFormatting>
  <conditionalFormatting sqref="J40:AM40">
    <cfRule type="expression" dxfId="11" priority="6">
      <formula>OR(J$9&lt;Start_Period,J$9&gt;Final_Period)</formula>
    </cfRule>
  </conditionalFormatting>
  <conditionalFormatting sqref="J49:AM49">
    <cfRule type="expression" dxfId="10" priority="5">
      <formula>J$40&lt;&gt;""</formula>
    </cfRule>
  </conditionalFormatting>
  <conditionalFormatting sqref="J53:AM53">
    <cfRule type="expression" dxfId="9" priority="4">
      <formula>J$40&lt;&gt;""</formula>
    </cfRule>
  </conditionalFormatting>
  <conditionalFormatting sqref="J71:AM71">
    <cfRule type="expression" dxfId="8" priority="3">
      <formula>J$40&lt;&gt;""</formula>
    </cfRule>
  </conditionalFormatting>
  <conditionalFormatting sqref="J75:AM75">
    <cfRule type="expression" dxfId="7" priority="2">
      <formula>J$40&lt;&gt;""</formula>
    </cfRule>
  </conditionalFormatting>
  <conditionalFormatting sqref="H77">
    <cfRule type="cellIs" dxfId="6" priority="1" operator="notEqual">
      <formula>0</formula>
    </cfRule>
  </conditionalFormatting>
  <dataValidations count="1">
    <dataValidation type="list" allowBlank="1" showInputMessage="1" showErrorMessage="1" sqref="I19" xr:uid="{84B02E58-BF9D-4796-9668-F719661827F7}">
      <formula1>LU_Cash_Flow_Timing</formula1>
    </dataValidation>
  </dataValidations>
  <hyperlinks>
    <hyperlink ref="G4" location="Overall_Error_Check" tooltip="Go to Overall Error Check" display="Overall_Error_Check" xr:uid="{5C686109-1503-4D68-8205-32C35E0F2AFA}"/>
    <hyperlink ref="A3:E3" location="HL_Navigator" tooltip="Go to Navigator (Table of Contents)" display="Navigator" xr:uid="{AABB5D1D-34A3-4479-8823-B9F8EA3AE070}"/>
    <hyperlink ref="A3" location="HL_Navigator" display="Navigator" xr:uid="{CD18955D-DE6F-4952-BAC5-27433BF6EE29}"/>
  </hyperlinks>
  <pageMargins left="0.70866141732283472" right="0.70866141732283472" top="0.74803149606299213" bottom="0.74803149606299213" header="0.31496062992125984" footer="0.31496062992125984"/>
  <pageSetup paperSize="9" scale="42" orientation="landscape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>
    <outlinePr summaryBelow="0"/>
    <pageSetUpPr fitToPage="1"/>
  </sheetPr>
  <dimension ref="A1:AN23"/>
  <sheetViews>
    <sheetView showGridLines="0" workbookViewId="0">
      <pane ySplit="9" topLeftCell="A10" activePane="bottomLeft" state="frozen"/>
      <selection pane="bottomLeft" activeCell="A10" sqref="A10"/>
    </sheetView>
  </sheetViews>
  <sheetFormatPr defaultRowHeight="12" outlineLevelRow="1" x14ac:dyDescent="0.2"/>
  <cols>
    <col min="1" max="5" width="3.7109375" customWidth="1"/>
    <col min="7" max="7" width="22.140625" customWidth="1"/>
    <col min="8" max="8" width="10.7109375" customWidth="1"/>
    <col min="10" max="14" width="10.7109375" customWidth="1"/>
  </cols>
  <sheetData>
    <row r="1" spans="1:40" s="42" customFormat="1" ht="20.25" x14ac:dyDescent="0.3">
      <c r="A1" s="49" t="str">
        <f ca="1">IF(ISERROR(RIGHT(CELL("filename",A1),LEN(CELL("filename",A1))-FIND("]",CELL("filename",A1)))),
"",
RIGHT(CELL("filename",A1),LEN(CELL("filename",A1))-FIND("]",CELL("filename",A1))))</f>
        <v>Timing</v>
      </c>
      <c r="I1" s="84"/>
      <c r="J1" s="84"/>
    </row>
    <row r="2" spans="1:40" s="42" customFormat="1" ht="18" x14ac:dyDescent="0.25">
      <c r="A2" s="50" t="str">
        <f ca="1">Model_Name</f>
        <v>Chapter 7.7 - SP Capex Smoothing Example.xlsx</v>
      </c>
    </row>
    <row r="3" spans="1:40" s="42" customFormat="1" x14ac:dyDescent="0.2">
      <c r="A3" s="84" t="s">
        <v>1</v>
      </c>
      <c r="B3" s="84"/>
      <c r="C3" s="84"/>
      <c r="D3" s="84"/>
      <c r="E3" s="84"/>
    </row>
    <row r="4" spans="1:40" s="42" customFormat="1" ht="14.25" x14ac:dyDescent="0.2">
      <c r="B4" s="42" t="s">
        <v>2</v>
      </c>
      <c r="F4" s="1">
        <f>Overall_Error_Check</f>
        <v>0</v>
      </c>
    </row>
    <row r="5" spans="1:40" s="2" customFormat="1" x14ac:dyDescent="0.2">
      <c r="J5" s="44">
        <f ca="1">J$7</f>
        <v>44561</v>
      </c>
      <c r="K5" s="44">
        <f ca="1">K$7</f>
        <v>44926</v>
      </c>
      <c r="L5" s="44">
        <f ca="1">L$7</f>
        <v>45291</v>
      </c>
      <c r="M5" s="44">
        <f ca="1">M$7</f>
        <v>45657</v>
      </c>
      <c r="N5" s="44">
        <f ca="1">N$7</f>
        <v>46022</v>
      </c>
      <c r="O5" s="44">
        <f t="shared" ref="O5:AM5" ca="1" si="0">O$7</f>
        <v>46387</v>
      </c>
      <c r="P5" s="44">
        <f t="shared" ca="1" si="0"/>
        <v>46752</v>
      </c>
      <c r="Q5" s="44">
        <f t="shared" ca="1" si="0"/>
        <v>47118</v>
      </c>
      <c r="R5" s="44">
        <f t="shared" ca="1" si="0"/>
        <v>47483</v>
      </c>
      <c r="S5" s="44">
        <f t="shared" ca="1" si="0"/>
        <v>47848</v>
      </c>
      <c r="T5" s="44">
        <f t="shared" ca="1" si="0"/>
        <v>48213</v>
      </c>
      <c r="U5" s="44">
        <f t="shared" ca="1" si="0"/>
        <v>48579</v>
      </c>
      <c r="V5" s="44">
        <f t="shared" ca="1" si="0"/>
        <v>48944</v>
      </c>
      <c r="W5" s="44">
        <f t="shared" ca="1" si="0"/>
        <v>49309</v>
      </c>
      <c r="X5" s="44">
        <f t="shared" ca="1" si="0"/>
        <v>49674</v>
      </c>
      <c r="Y5" s="44">
        <f t="shared" ca="1" si="0"/>
        <v>50040</v>
      </c>
      <c r="Z5" s="44">
        <f t="shared" ca="1" si="0"/>
        <v>50405</v>
      </c>
      <c r="AA5" s="44">
        <f t="shared" ca="1" si="0"/>
        <v>50770</v>
      </c>
      <c r="AB5" s="44">
        <f t="shared" ca="1" si="0"/>
        <v>51135</v>
      </c>
      <c r="AC5" s="44">
        <f t="shared" ca="1" si="0"/>
        <v>51501</v>
      </c>
      <c r="AD5" s="44">
        <f t="shared" ca="1" si="0"/>
        <v>51866</v>
      </c>
      <c r="AE5" s="44">
        <f t="shared" ca="1" si="0"/>
        <v>52231</v>
      </c>
      <c r="AF5" s="44">
        <f t="shared" ca="1" si="0"/>
        <v>52596</v>
      </c>
      <c r="AG5" s="44">
        <f t="shared" ca="1" si="0"/>
        <v>52962</v>
      </c>
      <c r="AH5" s="44">
        <f t="shared" ca="1" si="0"/>
        <v>53327</v>
      </c>
      <c r="AI5" s="44">
        <f t="shared" ca="1" si="0"/>
        <v>53692</v>
      </c>
      <c r="AJ5" s="44">
        <f t="shared" ca="1" si="0"/>
        <v>54057</v>
      </c>
      <c r="AK5" s="44">
        <f t="shared" ca="1" si="0"/>
        <v>54423</v>
      </c>
      <c r="AL5" s="44">
        <f t="shared" ca="1" si="0"/>
        <v>54788</v>
      </c>
      <c r="AM5" s="44">
        <f t="shared" ca="1" si="0"/>
        <v>55153</v>
      </c>
    </row>
    <row r="6" spans="1:40" s="42" customFormat="1" outlineLevel="1" x14ac:dyDescent="0.2">
      <c r="C6" s="2" t="s">
        <v>71</v>
      </c>
      <c r="J6" s="43">
        <f t="shared" ref="J6:AM6" ca="1" si="1">IF(J$9=1,Model_Start_Date,I$7+1)</f>
        <v>44197</v>
      </c>
      <c r="K6" s="43">
        <f t="shared" ca="1" si="1"/>
        <v>44562</v>
      </c>
      <c r="L6" s="43">
        <f t="shared" ca="1" si="1"/>
        <v>44927</v>
      </c>
      <c r="M6" s="43">
        <f t="shared" ca="1" si="1"/>
        <v>45292</v>
      </c>
      <c r="N6" s="43">
        <f t="shared" ca="1" si="1"/>
        <v>45658</v>
      </c>
      <c r="O6" s="43">
        <f t="shared" ca="1" si="1"/>
        <v>46023</v>
      </c>
      <c r="P6" s="43">
        <f t="shared" ca="1" si="1"/>
        <v>46388</v>
      </c>
      <c r="Q6" s="43">
        <f t="shared" ca="1" si="1"/>
        <v>46753</v>
      </c>
      <c r="R6" s="43">
        <f t="shared" ca="1" si="1"/>
        <v>47119</v>
      </c>
      <c r="S6" s="43">
        <f t="shared" ca="1" si="1"/>
        <v>47484</v>
      </c>
      <c r="T6" s="43">
        <f t="shared" ca="1" si="1"/>
        <v>47849</v>
      </c>
      <c r="U6" s="43">
        <f t="shared" ca="1" si="1"/>
        <v>48214</v>
      </c>
      <c r="V6" s="43">
        <f t="shared" ca="1" si="1"/>
        <v>48580</v>
      </c>
      <c r="W6" s="43">
        <f t="shared" ca="1" si="1"/>
        <v>48945</v>
      </c>
      <c r="X6" s="43">
        <f t="shared" ca="1" si="1"/>
        <v>49310</v>
      </c>
      <c r="Y6" s="43">
        <f t="shared" ca="1" si="1"/>
        <v>49675</v>
      </c>
      <c r="Z6" s="43">
        <f t="shared" ca="1" si="1"/>
        <v>50041</v>
      </c>
      <c r="AA6" s="43">
        <f t="shared" ca="1" si="1"/>
        <v>50406</v>
      </c>
      <c r="AB6" s="43">
        <f t="shared" ca="1" si="1"/>
        <v>50771</v>
      </c>
      <c r="AC6" s="43">
        <f t="shared" ca="1" si="1"/>
        <v>51136</v>
      </c>
      <c r="AD6" s="43">
        <f t="shared" ca="1" si="1"/>
        <v>51502</v>
      </c>
      <c r="AE6" s="43">
        <f t="shared" ca="1" si="1"/>
        <v>51867</v>
      </c>
      <c r="AF6" s="43">
        <f t="shared" ca="1" si="1"/>
        <v>52232</v>
      </c>
      <c r="AG6" s="43">
        <f t="shared" ca="1" si="1"/>
        <v>52597</v>
      </c>
      <c r="AH6" s="43">
        <f t="shared" ca="1" si="1"/>
        <v>52963</v>
      </c>
      <c r="AI6" s="43">
        <f t="shared" ca="1" si="1"/>
        <v>53328</v>
      </c>
      <c r="AJ6" s="43">
        <f t="shared" ca="1" si="1"/>
        <v>53693</v>
      </c>
      <c r="AK6" s="43">
        <f t="shared" ca="1" si="1"/>
        <v>54058</v>
      </c>
      <c r="AL6" s="43">
        <f t="shared" ca="1" si="1"/>
        <v>54424</v>
      </c>
      <c r="AM6" s="43">
        <f t="shared" ca="1" si="1"/>
        <v>54789</v>
      </c>
    </row>
    <row r="7" spans="1:40" s="42" customFormat="1" outlineLevel="1" x14ac:dyDescent="0.2">
      <c r="C7" s="2" t="s">
        <v>72</v>
      </c>
      <c r="J7" s="43">
        <f t="shared" ref="J7:AM7" ca="1" si="2">EOMONTH(J$6,MOD(Periodicity+Reporting_Month_Factor-MONTH(J$6),Periodicity))</f>
        <v>44561</v>
      </c>
      <c r="K7" s="43">
        <f t="shared" ca="1" si="2"/>
        <v>44926</v>
      </c>
      <c r="L7" s="43">
        <f t="shared" ca="1" si="2"/>
        <v>45291</v>
      </c>
      <c r="M7" s="43">
        <f t="shared" ca="1" si="2"/>
        <v>45657</v>
      </c>
      <c r="N7" s="43">
        <f t="shared" ca="1" si="2"/>
        <v>46022</v>
      </c>
      <c r="O7" s="43">
        <f t="shared" ca="1" si="2"/>
        <v>46387</v>
      </c>
      <c r="P7" s="43">
        <f t="shared" ca="1" si="2"/>
        <v>46752</v>
      </c>
      <c r="Q7" s="43">
        <f t="shared" ca="1" si="2"/>
        <v>47118</v>
      </c>
      <c r="R7" s="43">
        <f t="shared" ca="1" si="2"/>
        <v>47483</v>
      </c>
      <c r="S7" s="43">
        <f t="shared" ca="1" si="2"/>
        <v>47848</v>
      </c>
      <c r="T7" s="43">
        <f t="shared" ca="1" si="2"/>
        <v>48213</v>
      </c>
      <c r="U7" s="43">
        <f t="shared" ca="1" si="2"/>
        <v>48579</v>
      </c>
      <c r="V7" s="43">
        <f t="shared" ca="1" si="2"/>
        <v>48944</v>
      </c>
      <c r="W7" s="43">
        <f t="shared" ca="1" si="2"/>
        <v>49309</v>
      </c>
      <c r="X7" s="43">
        <f t="shared" ca="1" si="2"/>
        <v>49674</v>
      </c>
      <c r="Y7" s="43">
        <f t="shared" ca="1" si="2"/>
        <v>50040</v>
      </c>
      <c r="Z7" s="43">
        <f t="shared" ca="1" si="2"/>
        <v>50405</v>
      </c>
      <c r="AA7" s="43">
        <f t="shared" ca="1" si="2"/>
        <v>50770</v>
      </c>
      <c r="AB7" s="43">
        <f t="shared" ca="1" si="2"/>
        <v>51135</v>
      </c>
      <c r="AC7" s="43">
        <f t="shared" ca="1" si="2"/>
        <v>51501</v>
      </c>
      <c r="AD7" s="43">
        <f t="shared" ca="1" si="2"/>
        <v>51866</v>
      </c>
      <c r="AE7" s="43">
        <f t="shared" ca="1" si="2"/>
        <v>52231</v>
      </c>
      <c r="AF7" s="43">
        <f t="shared" ca="1" si="2"/>
        <v>52596</v>
      </c>
      <c r="AG7" s="43">
        <f t="shared" ca="1" si="2"/>
        <v>52962</v>
      </c>
      <c r="AH7" s="43">
        <f t="shared" ca="1" si="2"/>
        <v>53327</v>
      </c>
      <c r="AI7" s="43">
        <f t="shared" ca="1" si="2"/>
        <v>53692</v>
      </c>
      <c r="AJ7" s="43">
        <f t="shared" ca="1" si="2"/>
        <v>54057</v>
      </c>
      <c r="AK7" s="43">
        <f t="shared" ca="1" si="2"/>
        <v>54423</v>
      </c>
      <c r="AL7" s="43">
        <f t="shared" ca="1" si="2"/>
        <v>54788</v>
      </c>
      <c r="AM7" s="43">
        <f t="shared" ca="1" si="2"/>
        <v>55153</v>
      </c>
    </row>
    <row r="8" spans="1:40" s="42" customFormat="1" outlineLevel="1" x14ac:dyDescent="0.2">
      <c r="C8" s="2" t="s">
        <v>74</v>
      </c>
      <c r="J8" s="39">
        <f ca="1">J7-J6+1</f>
        <v>365</v>
      </c>
      <c r="K8" s="39">
        <f t="shared" ref="K8:N8" ca="1" si="3">K7-K6+1</f>
        <v>365</v>
      </c>
      <c r="L8" s="39">
        <f t="shared" ca="1" si="3"/>
        <v>365</v>
      </c>
      <c r="M8" s="39">
        <f t="shared" ca="1" si="3"/>
        <v>366</v>
      </c>
      <c r="N8" s="39">
        <f t="shared" ca="1" si="3"/>
        <v>365</v>
      </c>
      <c r="O8" s="39">
        <f t="shared" ref="O8:AM8" ca="1" si="4">O7-O6+1</f>
        <v>365</v>
      </c>
      <c r="P8" s="39">
        <f t="shared" ca="1" si="4"/>
        <v>365</v>
      </c>
      <c r="Q8" s="39">
        <f t="shared" ca="1" si="4"/>
        <v>366</v>
      </c>
      <c r="R8" s="39">
        <f t="shared" ca="1" si="4"/>
        <v>365</v>
      </c>
      <c r="S8" s="39">
        <f t="shared" ca="1" si="4"/>
        <v>365</v>
      </c>
      <c r="T8" s="39">
        <f t="shared" ca="1" si="4"/>
        <v>365</v>
      </c>
      <c r="U8" s="39">
        <f t="shared" ca="1" si="4"/>
        <v>366</v>
      </c>
      <c r="V8" s="39">
        <f t="shared" ca="1" si="4"/>
        <v>365</v>
      </c>
      <c r="W8" s="39">
        <f t="shared" ca="1" si="4"/>
        <v>365</v>
      </c>
      <c r="X8" s="39">
        <f t="shared" ca="1" si="4"/>
        <v>365</v>
      </c>
      <c r="Y8" s="39">
        <f t="shared" ca="1" si="4"/>
        <v>366</v>
      </c>
      <c r="Z8" s="39">
        <f t="shared" ca="1" si="4"/>
        <v>365</v>
      </c>
      <c r="AA8" s="39">
        <f t="shared" ca="1" si="4"/>
        <v>365</v>
      </c>
      <c r="AB8" s="39">
        <f t="shared" ca="1" si="4"/>
        <v>365</v>
      </c>
      <c r="AC8" s="39">
        <f t="shared" ca="1" si="4"/>
        <v>366</v>
      </c>
      <c r="AD8" s="39">
        <f t="shared" ca="1" si="4"/>
        <v>365</v>
      </c>
      <c r="AE8" s="39">
        <f t="shared" ca="1" si="4"/>
        <v>365</v>
      </c>
      <c r="AF8" s="39">
        <f t="shared" ca="1" si="4"/>
        <v>365</v>
      </c>
      <c r="AG8" s="39">
        <f t="shared" ca="1" si="4"/>
        <v>366</v>
      </c>
      <c r="AH8" s="39">
        <f t="shared" ca="1" si="4"/>
        <v>365</v>
      </c>
      <c r="AI8" s="39">
        <f t="shared" ca="1" si="4"/>
        <v>365</v>
      </c>
      <c r="AJ8" s="39">
        <f t="shared" ca="1" si="4"/>
        <v>365</v>
      </c>
      <c r="AK8" s="39">
        <f t="shared" ca="1" si="4"/>
        <v>366</v>
      </c>
      <c r="AL8" s="39">
        <f t="shared" ca="1" si="4"/>
        <v>365</v>
      </c>
      <c r="AM8" s="39">
        <f t="shared" ca="1" si="4"/>
        <v>365</v>
      </c>
    </row>
    <row r="9" spans="1:40" s="42" customFormat="1" ht="15" outlineLevel="1" x14ac:dyDescent="0.25">
      <c r="C9" s="2" t="s">
        <v>73</v>
      </c>
      <c r="I9" s="28"/>
      <c r="J9" s="39">
        <f>N(I$9)+1</f>
        <v>1</v>
      </c>
      <c r="K9" s="39">
        <f t="shared" ref="K9:N9" si="5">N(J$9)+1</f>
        <v>2</v>
      </c>
      <c r="L9" s="39">
        <f t="shared" si="5"/>
        <v>3</v>
      </c>
      <c r="M9" s="39">
        <f t="shared" si="5"/>
        <v>4</v>
      </c>
      <c r="N9" s="39">
        <f t="shared" si="5"/>
        <v>5</v>
      </c>
      <c r="O9" s="39">
        <f t="shared" ref="O9" si="6">N(N$9)+1</f>
        <v>6</v>
      </c>
      <c r="P9" s="39">
        <f t="shared" ref="P9" si="7">N(O$9)+1</f>
        <v>7</v>
      </c>
      <c r="Q9" s="39">
        <f t="shared" ref="Q9" si="8">N(P$9)+1</f>
        <v>8</v>
      </c>
      <c r="R9" s="39">
        <f t="shared" ref="R9" si="9">N(Q$9)+1</f>
        <v>9</v>
      </c>
      <c r="S9" s="39">
        <f t="shared" ref="S9" si="10">N(R$9)+1</f>
        <v>10</v>
      </c>
      <c r="T9" s="39">
        <f t="shared" ref="T9" si="11">N(S$9)+1</f>
        <v>11</v>
      </c>
      <c r="U9" s="39">
        <f t="shared" ref="U9" si="12">N(T$9)+1</f>
        <v>12</v>
      </c>
      <c r="V9" s="39">
        <f t="shared" ref="V9" si="13">N(U$9)+1</f>
        <v>13</v>
      </c>
      <c r="W9" s="39">
        <f t="shared" ref="W9" si="14">N(V$9)+1</f>
        <v>14</v>
      </c>
      <c r="X9" s="39">
        <f t="shared" ref="X9" si="15">N(W$9)+1</f>
        <v>15</v>
      </c>
      <c r="Y9" s="39">
        <f t="shared" ref="Y9" si="16">N(X$9)+1</f>
        <v>16</v>
      </c>
      <c r="Z9" s="39">
        <f t="shared" ref="Z9" si="17">N(Y$9)+1</f>
        <v>17</v>
      </c>
      <c r="AA9" s="39">
        <f t="shared" ref="AA9" si="18">N(Z$9)+1</f>
        <v>18</v>
      </c>
      <c r="AB9" s="39">
        <f t="shared" ref="AB9" si="19">N(AA$9)+1</f>
        <v>19</v>
      </c>
      <c r="AC9" s="39">
        <f t="shared" ref="AC9" si="20">N(AB$9)+1</f>
        <v>20</v>
      </c>
      <c r="AD9" s="39">
        <f t="shared" ref="AD9" si="21">N(AC$9)+1</f>
        <v>21</v>
      </c>
      <c r="AE9" s="39">
        <f t="shared" ref="AE9" si="22">N(AD$9)+1</f>
        <v>22</v>
      </c>
      <c r="AF9" s="39">
        <f t="shared" ref="AF9" si="23">N(AE$9)+1</f>
        <v>23</v>
      </c>
      <c r="AG9" s="39">
        <f t="shared" ref="AG9" si="24">N(AF$9)+1</f>
        <v>24</v>
      </c>
      <c r="AH9" s="39">
        <f t="shared" ref="AH9" si="25">N(AG$9)+1</f>
        <v>25</v>
      </c>
      <c r="AI9" s="39">
        <f t="shared" ref="AI9" si="26">N(AH$9)+1</f>
        <v>26</v>
      </c>
      <c r="AJ9" s="39">
        <f t="shared" ref="AJ9" si="27">N(AI$9)+1</f>
        <v>27</v>
      </c>
      <c r="AK9" s="39">
        <f t="shared" ref="AK9" si="28">N(AJ$9)+1</f>
        <v>28</v>
      </c>
      <c r="AL9" s="39">
        <f t="shared" ref="AL9" si="29">N(AK$9)+1</f>
        <v>29</v>
      </c>
      <c r="AM9" s="39">
        <f t="shared" ref="AM9" si="30">N(AL$9)+1</f>
        <v>30</v>
      </c>
    </row>
    <row r="10" spans="1:40" s="42" customFormat="1" x14ac:dyDescent="0.2">
      <c r="A10" s="60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62"/>
      <c r="AG10" s="62"/>
      <c r="AH10" s="62"/>
      <c r="AI10" s="62"/>
      <c r="AJ10" s="62"/>
      <c r="AK10" s="62"/>
      <c r="AL10" s="62"/>
      <c r="AM10" s="62"/>
    </row>
    <row r="11" spans="1:40" s="42" customFormat="1" ht="16.5" thickBot="1" x14ac:dyDescent="0.3">
      <c r="B11" s="51">
        <f>MAX($B$10:$B10)+1</f>
        <v>1</v>
      </c>
      <c r="C11" s="46" t="s">
        <v>75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</row>
    <row r="12" spans="1:40" s="42" customFormat="1" ht="12.75" thickTop="1" x14ac:dyDescent="0.2"/>
    <row r="13" spans="1:40" s="42" customFormat="1" ht="16.5" x14ac:dyDescent="0.25">
      <c r="C13" s="4" t="s">
        <v>116</v>
      </c>
    </row>
    <row r="15" spans="1:40" x14ac:dyDescent="0.2">
      <c r="D15" t="s">
        <v>76</v>
      </c>
      <c r="H15" s="58">
        <f ca="1">DATE(YEAR(TODAY())+1,1,1)</f>
        <v>44197</v>
      </c>
    </row>
    <row r="17" spans="4:9" x14ac:dyDescent="0.2">
      <c r="D17" t="s">
        <v>77</v>
      </c>
      <c r="H17" s="59">
        <v>12</v>
      </c>
    </row>
    <row r="19" spans="4:9" x14ac:dyDescent="0.2">
      <c r="D19" t="s">
        <v>78</v>
      </c>
      <c r="H19" s="59">
        <v>12</v>
      </c>
      <c r="I19" s="23" t="str">
        <f ca="1">"e.g. "&amp;TEXT(DATE(YEAR(Model_Start_Date)+IF(Example_Reporting_Month&lt;MONTH(Model_Start_Date),1,0),Example_Reporting_Month+1,1)-1,"dd-Mmm-yy")</f>
        <v>e.g. 31-Dec-21</v>
      </c>
    </row>
    <row r="21" spans="4:9" x14ac:dyDescent="0.2">
      <c r="D21" t="s">
        <v>79</v>
      </c>
      <c r="H21" s="40">
        <f>MOD(Example_Reporting_Month-1,Periodicity)+1</f>
        <v>12</v>
      </c>
    </row>
    <row r="23" spans="4:9" x14ac:dyDescent="0.2">
      <c r="D23" t="s">
        <v>80</v>
      </c>
      <c r="H23" s="59">
        <v>12</v>
      </c>
    </row>
  </sheetData>
  <mergeCells count="2">
    <mergeCell ref="I1:J1"/>
    <mergeCell ref="A3:E3"/>
  </mergeCells>
  <conditionalFormatting sqref="F4">
    <cfRule type="cellIs" dxfId="5" priority="1" operator="notEqual">
      <formula>0</formula>
    </cfRule>
  </conditionalFormatting>
  <hyperlinks>
    <hyperlink ref="F4" location="Overall_Error_Check" tooltip="Go to Overall Error Check" display="Overall_Error_Check" xr:uid="{00000000-0004-0000-0400-000000000000}"/>
    <hyperlink ref="A3:E3" location="HL_Navigator" tooltip="Go to Navigator (Table of Contents)" display="Navigator" xr:uid="{00000000-0004-0000-0400-000001000000}"/>
    <hyperlink ref="A3" location="HL_Navigator" display="Navigator" xr:uid="{00000000-0004-0000-0400-000002000000}"/>
  </hyperlinks>
  <pageMargins left="0.70866141732283472" right="0.70866141732283472" top="0.74803149606299213" bottom="0.74803149606299213" header="0.31496062992125984" footer="0.31496062992125984"/>
  <pageSetup paperSize="9" scale="40" orientation="landscape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5AF72-B642-4052-A328-60FCB7BAC4D7}">
  <sheetPr>
    <outlinePr summaryBelow="0" summaryRight="0"/>
  </sheetPr>
  <dimension ref="A1:L25"/>
  <sheetViews>
    <sheetView showGridLines="0" workbookViewId="0">
      <pane ySplit="4" topLeftCell="A5" activePane="bottomLeft" state="frozen"/>
      <selection pane="bottomLeft" activeCell="A5" sqref="A5"/>
    </sheetView>
  </sheetViews>
  <sheetFormatPr defaultRowHeight="12" outlineLevelRow="1" x14ac:dyDescent="0.2"/>
  <cols>
    <col min="1" max="5" width="3.7109375" customWidth="1"/>
    <col min="6" max="6" width="22.140625" bestFit="1" customWidth="1"/>
  </cols>
  <sheetData>
    <row r="1" spans="1:12" ht="20.25" x14ac:dyDescent="0.3">
      <c r="A1" s="49" t="str">
        <f ca="1">IF(ISERROR(RIGHT(CELL("filename",A1),LEN(CELL("filename",A1))-FIND("]",CELL("filename",A1)))),
"",
RIGHT(CELL("filename",A1),LEN(CELL("filename",A1))-FIND("]",CELL("filename",A1))))</f>
        <v>Lookup Data</v>
      </c>
      <c r="B1" s="62"/>
      <c r="C1" s="62"/>
      <c r="D1" s="62"/>
      <c r="E1" s="62"/>
      <c r="F1" s="62"/>
      <c r="G1" s="62"/>
      <c r="H1" s="62"/>
      <c r="I1" s="84"/>
      <c r="J1" s="84"/>
      <c r="K1" s="61"/>
      <c r="L1" s="62"/>
    </row>
    <row r="2" spans="1:12" ht="18" x14ac:dyDescent="0.25">
      <c r="A2" s="50" t="str">
        <f ca="1">Model_Name</f>
        <v>Chapter 7.7 - SP Capex Smoothing Example.xlsx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</row>
    <row r="3" spans="1:12" x14ac:dyDescent="0.2">
      <c r="A3" s="84" t="s">
        <v>1</v>
      </c>
      <c r="B3" s="84"/>
      <c r="C3" s="84"/>
      <c r="D3" s="84"/>
      <c r="E3" s="84"/>
      <c r="F3" s="62"/>
      <c r="G3" s="62"/>
      <c r="H3" s="62"/>
      <c r="I3" s="62"/>
      <c r="J3" s="62"/>
      <c r="K3" s="62"/>
      <c r="L3" s="62"/>
    </row>
    <row r="4" spans="1:12" ht="14.25" x14ac:dyDescent="0.2">
      <c r="A4" s="62"/>
      <c r="B4" s="62" t="s">
        <v>2</v>
      </c>
      <c r="C4" s="62"/>
      <c r="D4" s="62"/>
      <c r="E4" s="62"/>
      <c r="G4" s="1">
        <f>Overall_Error_Check</f>
        <v>0</v>
      </c>
      <c r="H4" s="62"/>
      <c r="I4" s="62"/>
      <c r="J4" s="62"/>
      <c r="K4" s="62"/>
      <c r="L4" s="62"/>
    </row>
    <row r="5" spans="1:12" x14ac:dyDescent="0.2">
      <c r="A5" s="61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</row>
    <row r="6" spans="1:12" ht="16.5" thickBot="1" x14ac:dyDescent="0.3">
      <c r="A6" s="62"/>
      <c r="B6" s="51">
        <f>MAX($B$5:$B5)+1</f>
        <v>1</v>
      </c>
      <c r="C6" s="3" t="s">
        <v>93</v>
      </c>
      <c r="D6" s="3"/>
      <c r="E6" s="3"/>
      <c r="F6" s="3"/>
      <c r="G6" s="3"/>
      <c r="H6" s="3"/>
      <c r="I6" s="3"/>
      <c r="J6" s="3"/>
      <c r="K6" s="3"/>
      <c r="L6" s="3"/>
    </row>
    <row r="7" spans="1:12" ht="12.75" outlineLevel="1" thickTop="1" x14ac:dyDescent="0.2">
      <c r="A7" s="62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</row>
    <row r="8" spans="1:12" ht="16.5" outlineLevel="1" x14ac:dyDescent="0.25">
      <c r="A8" s="62"/>
      <c r="B8" s="62"/>
      <c r="C8" s="4" t="str">
        <f>"LU_"&amp;SUBSTITUTE(C6," ","_")</f>
        <v>LU_Cash_Flow_Timing</v>
      </c>
      <c r="D8" s="62"/>
      <c r="E8" s="62"/>
      <c r="F8" s="62"/>
      <c r="G8" s="62"/>
      <c r="H8" s="62"/>
      <c r="I8" s="62"/>
      <c r="J8" s="62"/>
      <c r="K8" s="62"/>
      <c r="L8" s="62"/>
    </row>
    <row r="9" spans="1:12" outlineLevel="1" x14ac:dyDescent="0.2"/>
    <row r="10" spans="1:12" outlineLevel="1" x14ac:dyDescent="0.2">
      <c r="F10" s="63" t="str">
        <f>C6</f>
        <v>Cash Flow Timing</v>
      </c>
    </row>
    <row r="11" spans="1:12" outlineLevel="1" x14ac:dyDescent="0.2">
      <c r="E11" s="62"/>
      <c r="F11" s="66" t="s">
        <v>94</v>
      </c>
      <c r="H11" s="34" t="str">
        <f>C8</f>
        <v>LU_Cash_Flow_Timing</v>
      </c>
    </row>
    <row r="12" spans="1:12" outlineLevel="1" x14ac:dyDescent="0.2">
      <c r="E12" s="62"/>
      <c r="F12" s="66" t="s">
        <v>95</v>
      </c>
    </row>
    <row r="13" spans="1:12" outlineLevel="1" x14ac:dyDescent="0.2">
      <c r="E13" s="62"/>
      <c r="F13" s="66" t="s">
        <v>96</v>
      </c>
    </row>
    <row r="14" spans="1:12" outlineLevel="1" x14ac:dyDescent="0.2"/>
    <row r="15" spans="1:12" outlineLevel="1" x14ac:dyDescent="0.2"/>
    <row r="16" spans="1:12" s="62" customFormat="1" ht="16.5" thickBot="1" x14ac:dyDescent="0.3">
      <c r="B16" s="51">
        <f>MAX($B$5:$B15)+1</f>
        <v>2</v>
      </c>
      <c r="C16" s="3" t="s">
        <v>114</v>
      </c>
      <c r="D16" s="3"/>
      <c r="E16" s="3"/>
      <c r="F16" s="3"/>
      <c r="G16" s="3"/>
      <c r="H16" s="3"/>
      <c r="I16" s="3"/>
      <c r="J16" s="3"/>
      <c r="K16" s="3"/>
      <c r="L16" s="3"/>
    </row>
    <row r="17" spans="3:8" s="62" customFormat="1" ht="12.75" outlineLevel="1" thickTop="1" x14ac:dyDescent="0.2"/>
    <row r="18" spans="3:8" s="62" customFormat="1" ht="16.5" outlineLevel="1" x14ac:dyDescent="0.25">
      <c r="C18" s="4" t="str">
        <f>"LU_"&amp;SUBSTITUTE(C16," ","_")</f>
        <v>LU_Cash_Flow_Timing_Factors</v>
      </c>
    </row>
    <row r="19" spans="3:8" s="62" customFormat="1" outlineLevel="1" x14ac:dyDescent="0.2"/>
    <row r="20" spans="3:8" s="62" customFormat="1" outlineLevel="1" x14ac:dyDescent="0.2">
      <c r="F20" s="63" t="str">
        <f>C16</f>
        <v>Cash Flow Timing Factors</v>
      </c>
    </row>
    <row r="21" spans="3:8" s="62" customFormat="1" outlineLevel="1" x14ac:dyDescent="0.2">
      <c r="F21" s="66">
        <v>0</v>
      </c>
      <c r="H21" s="34" t="str">
        <f>C18</f>
        <v>LU_Cash_Flow_Timing_Factors</v>
      </c>
    </row>
    <row r="22" spans="3:8" s="62" customFormat="1" outlineLevel="1" x14ac:dyDescent="0.2">
      <c r="F22" s="66">
        <v>0.5</v>
      </c>
    </row>
    <row r="23" spans="3:8" s="62" customFormat="1" outlineLevel="1" x14ac:dyDescent="0.2">
      <c r="F23" s="66">
        <v>1</v>
      </c>
    </row>
    <row r="24" spans="3:8" s="62" customFormat="1" outlineLevel="1" x14ac:dyDescent="0.2"/>
    <row r="25" spans="3:8" s="62" customFormat="1" outlineLevel="1" x14ac:dyDescent="0.2"/>
  </sheetData>
  <mergeCells count="2">
    <mergeCell ref="I1:J1"/>
    <mergeCell ref="A3:E3"/>
  </mergeCells>
  <conditionalFormatting sqref="G4">
    <cfRule type="cellIs" dxfId="4" priority="1" operator="notEqual">
      <formula>0</formula>
    </cfRule>
  </conditionalFormatting>
  <hyperlinks>
    <hyperlink ref="G4" location="Overall_Error_Check" tooltip="Go to Overall Error Check" display="Overall_Error_Check" xr:uid="{F88E4EA8-EAA0-4FB0-8FA4-39D88F93CD83}"/>
    <hyperlink ref="A3:E3" location="HL_Navigator" tooltip="Go to Navigator (Table of Contents)" display="Navigator" xr:uid="{7FDBDEFD-9736-4CFA-B41A-84282026A60F}"/>
    <hyperlink ref="A3" location="HL_Navigator" display="Navigator" xr:uid="{84129A47-4211-4618-9B70-EB829C24E235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>
    <outlinePr summaryBelow="0"/>
  </sheetPr>
  <dimension ref="A1:R19"/>
  <sheetViews>
    <sheetView showGridLines="0" workbookViewId="0">
      <pane ySplit="4" topLeftCell="A5" activePane="bottomLeft" state="frozen"/>
      <selection pane="bottomLeft" activeCell="A5" sqref="A5"/>
    </sheetView>
  </sheetViews>
  <sheetFormatPr defaultColWidth="0" defaultRowHeight="12" outlineLevelRow="1" x14ac:dyDescent="0.2"/>
  <cols>
    <col min="1" max="5" width="3.7109375" customWidth="1"/>
    <col min="6" max="12" width="9.140625" customWidth="1"/>
    <col min="13" max="18" width="0" hidden="1" customWidth="1"/>
    <col min="19" max="16384" width="9.140625" hidden="1"/>
  </cols>
  <sheetData>
    <row r="1" spans="1:11" ht="20.25" x14ac:dyDescent="0.3">
      <c r="A1" s="49" t="str">
        <f ca="1">IF(ISERROR(RIGHT(CELL("filename",A1),LEN(CELL("filename",A1))-FIND("]",CELL("filename",A1)))),
"",
RIGHT(CELL("filename",A1),LEN(CELL("filename",A1))-FIND("]",CELL("filename",A1))))</f>
        <v>Error Checks</v>
      </c>
      <c r="I1" s="84"/>
      <c r="J1" s="84"/>
    </row>
    <row r="2" spans="1:11" ht="18" x14ac:dyDescent="0.25">
      <c r="A2" s="50" t="str">
        <f ca="1">Model_Name</f>
        <v>Chapter 7.7 - SP Capex Smoothing Example.xlsx</v>
      </c>
    </row>
    <row r="3" spans="1:11" x14ac:dyDescent="0.2">
      <c r="A3" s="84" t="s">
        <v>1</v>
      </c>
      <c r="B3" s="84"/>
      <c r="C3" s="84"/>
      <c r="D3" s="84"/>
      <c r="E3" s="84"/>
    </row>
    <row r="4" spans="1:11" ht="14.25" x14ac:dyDescent="0.2">
      <c r="B4" t="s">
        <v>2</v>
      </c>
      <c r="F4" s="1">
        <f>Overall_Error_Check</f>
        <v>0</v>
      </c>
    </row>
    <row r="5" spans="1:11" x14ac:dyDescent="0.2">
      <c r="A5" s="60"/>
    </row>
    <row r="6" spans="1:11" ht="16.5" thickBot="1" x14ac:dyDescent="0.3">
      <c r="B6" s="51">
        <f>MAX($B$5:$B5)+1</f>
        <v>1</v>
      </c>
      <c r="C6" s="3" t="s">
        <v>66</v>
      </c>
      <c r="D6" s="3"/>
      <c r="E6" s="3"/>
      <c r="F6" s="3"/>
      <c r="G6" s="3"/>
      <c r="H6" s="3"/>
      <c r="I6" s="3"/>
      <c r="J6" s="3"/>
      <c r="K6" s="3"/>
    </row>
    <row r="7" spans="1:11" ht="12.75" outlineLevel="1" thickTop="1" x14ac:dyDescent="0.2"/>
    <row r="8" spans="1:11" ht="16.5" outlineLevel="1" x14ac:dyDescent="0.25">
      <c r="C8" s="4" t="s">
        <v>67</v>
      </c>
    </row>
    <row r="9" spans="1:11" ht="16.5" outlineLevel="1" x14ac:dyDescent="0.25">
      <c r="C9" s="4"/>
    </row>
    <row r="10" spans="1:11" ht="16.5" outlineLevel="1" x14ac:dyDescent="0.25">
      <c r="C10" s="4"/>
      <c r="D10" s="5" t="s">
        <v>68</v>
      </c>
    </row>
    <row r="11" spans="1:11" outlineLevel="1" x14ac:dyDescent="0.2"/>
    <row r="12" spans="1:11" outlineLevel="1" x14ac:dyDescent="0.2">
      <c r="E12" t="s">
        <v>115</v>
      </c>
      <c r="I12" s="81">
        <f>HL_NPVs_Reconcile</f>
        <v>0</v>
      </c>
    </row>
    <row r="13" spans="1:11" outlineLevel="1" x14ac:dyDescent="0.2">
      <c r="I13" s="62"/>
      <c r="J13" s="62"/>
    </row>
    <row r="14" spans="1:11" outlineLevel="1" x14ac:dyDescent="0.2"/>
    <row r="15" spans="1:11" outlineLevel="1" x14ac:dyDescent="0.2"/>
    <row r="16" spans="1:11" outlineLevel="1" x14ac:dyDescent="0.2"/>
    <row r="17" spans="5:11" ht="15" outlineLevel="1" x14ac:dyDescent="0.25">
      <c r="E17" s="5" t="str">
        <f>C8</f>
        <v>Summary of Errors</v>
      </c>
      <c r="I17" s="1">
        <f>MIN(1,SUM(I11:I15))</f>
        <v>0</v>
      </c>
      <c r="K17" s="60"/>
    </row>
    <row r="18" spans="5:11" outlineLevel="1" x14ac:dyDescent="0.2"/>
    <row r="19" spans="5:11" outlineLevel="1" x14ac:dyDescent="0.2"/>
  </sheetData>
  <mergeCells count="2">
    <mergeCell ref="I1:J1"/>
    <mergeCell ref="A3:E3"/>
  </mergeCells>
  <conditionalFormatting sqref="I17">
    <cfRule type="cellIs" dxfId="3" priority="5" operator="notEqual">
      <formula>0</formula>
    </cfRule>
  </conditionalFormatting>
  <conditionalFormatting sqref="I12">
    <cfRule type="cellIs" dxfId="2" priority="4" operator="notEqual">
      <formula>0</formula>
    </cfRule>
  </conditionalFormatting>
  <conditionalFormatting sqref="I12">
    <cfRule type="cellIs" dxfId="1" priority="3" operator="notEqual">
      <formula>0</formula>
    </cfRule>
  </conditionalFormatting>
  <conditionalFormatting sqref="F4">
    <cfRule type="cellIs" dxfId="0" priority="1" operator="notEqual">
      <formula>0</formula>
    </cfRule>
  </conditionalFormatting>
  <hyperlinks>
    <hyperlink ref="F4" location="Overall_Error_Check" tooltip="Go to Overall Error Check" display="Overall_Error_Check" xr:uid="{00000000-0004-0000-0500-000000000000}"/>
    <hyperlink ref="A3:E3" location="HL_Navigator" tooltip="Go to Navigator (Table of Contents)" display="Navigator" xr:uid="{00000000-0004-0000-0500-000001000000}"/>
    <hyperlink ref="A3" location="HL_Navigator" display="Navigator" xr:uid="{00000000-0004-0000-0500-000002000000}"/>
    <hyperlink ref="I12" location="HL_NPVs_Reconcile" display="HL_NPVs_Reconcile" xr:uid="{85C6C6A9-BD92-49CA-9677-0C5946C72B0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47</vt:i4>
      </vt:variant>
    </vt:vector>
  </HeadingPairs>
  <TitlesOfParts>
    <vt:vector size="55" baseType="lpstr">
      <vt:lpstr>Cover</vt:lpstr>
      <vt:lpstr>Navigator</vt:lpstr>
      <vt:lpstr>Style Guide</vt:lpstr>
      <vt:lpstr>Model Parameters</vt:lpstr>
      <vt:lpstr>Capex Smoothing</vt:lpstr>
      <vt:lpstr>Timing</vt:lpstr>
      <vt:lpstr>Lookup Data</vt:lpstr>
      <vt:lpstr>Error Checks</vt:lpstr>
      <vt:lpstr>Base_Exponent</vt:lpstr>
      <vt:lpstr>Capex_Profile</vt:lpstr>
      <vt:lpstr>Cashflow_Timing</vt:lpstr>
      <vt:lpstr>Client_Name</vt:lpstr>
      <vt:lpstr>Days_in_Year</vt:lpstr>
      <vt:lpstr>Discount_Rate</vt:lpstr>
      <vt:lpstr>End</vt:lpstr>
      <vt:lpstr>Example_Reporting_Month</vt:lpstr>
      <vt:lpstr>Final_Period</vt:lpstr>
      <vt:lpstr>Growth_Rate</vt:lpstr>
      <vt:lpstr>HL_1</vt:lpstr>
      <vt:lpstr>HL_3</vt:lpstr>
      <vt:lpstr>HL_4</vt:lpstr>
      <vt:lpstr>HL_5</vt:lpstr>
      <vt:lpstr>HL_6</vt:lpstr>
      <vt:lpstr>HL_7</vt:lpstr>
      <vt:lpstr>HL_8</vt:lpstr>
      <vt:lpstr>HL_Model_Parameters</vt:lpstr>
      <vt:lpstr>HL_Navigator</vt:lpstr>
      <vt:lpstr>HL_NPVs_Reconcile</vt:lpstr>
      <vt:lpstr>LU_Cash_Flow_Timing</vt:lpstr>
      <vt:lpstr>LU_Cash_Flow_Timing_Factors</vt:lpstr>
      <vt:lpstr>LU_Counter</vt:lpstr>
      <vt:lpstr>Middle</vt:lpstr>
      <vt:lpstr>Model_Name</vt:lpstr>
      <vt:lpstr>Model_Start_Date</vt:lpstr>
      <vt:lpstr>Months_in_Half_Yr</vt:lpstr>
      <vt:lpstr>Months_in_Month</vt:lpstr>
      <vt:lpstr>Months_in_Quarter</vt:lpstr>
      <vt:lpstr>Months_in_Year</vt:lpstr>
      <vt:lpstr>NPV_of_Original_Capex_Profile</vt:lpstr>
      <vt:lpstr>NPV_of_Smoothed_Capex_Profile</vt:lpstr>
      <vt:lpstr>Number_of_Periods</vt:lpstr>
      <vt:lpstr>Overall_Error_Check</vt:lpstr>
      <vt:lpstr>Periodicity</vt:lpstr>
      <vt:lpstr>Pre_Tax_WACC</vt:lpstr>
      <vt:lpstr>Quarters_in_Year</vt:lpstr>
      <vt:lpstr>Reporting_Month_Factor</vt:lpstr>
      <vt:lpstr>Rounding_Accuracy</vt:lpstr>
      <vt:lpstr>Start</vt:lpstr>
      <vt:lpstr>Start_Period</vt:lpstr>
      <vt:lpstr>Terminal_Value_Switch</vt:lpstr>
      <vt:lpstr>Thousand</vt:lpstr>
      <vt:lpstr>Timing_Factor</vt:lpstr>
      <vt:lpstr>Timing_of_CashFlows</vt:lpstr>
      <vt:lpstr>Very_Large_Number</vt:lpstr>
      <vt:lpstr>Very_Small_Number</vt:lpstr>
    </vt:vector>
  </TitlesOfParts>
  <Company>SumProduct Pty Limited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Liam</dc:creator>
  <cp:lastModifiedBy>Tim Heng</cp:lastModifiedBy>
  <cp:lastPrinted>2018-09-01T01:39:03Z</cp:lastPrinted>
  <dcterms:created xsi:type="dcterms:W3CDTF">2012-10-20T20:39:47Z</dcterms:created>
  <dcterms:modified xsi:type="dcterms:W3CDTF">2020-05-26T17:20:05Z</dcterms:modified>
</cp:coreProperties>
</file>