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codeName="ThisWorkbook" defaultThemeVersion="124226"/>
  <mc:AlternateContent xmlns:mc="http://schemas.openxmlformats.org/markup-compatibility/2006">
    <mc:Choice Requires="x15">
      <x15ac:absPath xmlns:x15ac="http://schemas.microsoft.com/office/spreadsheetml/2010/11/ac" url="C:\Users\Tim Heng\Dropbox\SumProduct\Training\Financial Modelling Book 2\Final screenshots and files\Chapter 07 - Valuations\"/>
    </mc:Choice>
  </mc:AlternateContent>
  <xr:revisionPtr revIDLastSave="0" documentId="13_ncr:1_{34D1923C-2E9C-4B28-8668-EB9A93265DE0}" xr6:coauthVersionLast="45" xr6:coauthVersionMax="45" xr10:uidLastSave="{00000000-0000-0000-0000-000000000000}"/>
  <bookViews>
    <workbookView xWindow="-120" yWindow="-120" windowWidth="29040" windowHeight="15840" tabRatio="912" xr2:uid="{00000000-000D-0000-FFFF-FFFF00000000}"/>
  </bookViews>
  <sheets>
    <sheet name="Cover" sheetId="1" r:id="rId1"/>
    <sheet name="Navigator" sheetId="3" r:id="rId2"/>
    <sheet name="Style Guide" sheetId="4" r:id="rId3"/>
    <sheet name="Model Parameters" sheetId="2" r:id="rId4"/>
    <sheet name="IRR vs. XIRR" sheetId="12" r:id="rId5"/>
    <sheet name="Care with Date" sheetId="16" r:id="rId6"/>
    <sheet name="Value Not Right" sheetId="17" r:id="rId7"/>
    <sheet name="Positive Number" sheetId="15" r:id="rId8"/>
    <sheet name="Considering Orders" sheetId="14" r:id="rId9"/>
    <sheet name="Unreliable_XNPV" sheetId="19" r:id="rId10"/>
    <sheet name="XIRR Examples" sheetId="21" r:id="rId11"/>
    <sheet name="XIRR Examples_Negative Start" sheetId="20" r:id="rId12"/>
    <sheet name="Error Checks" sheetId="5" r:id="rId13"/>
    <sheet name="Change Log" sheetId="9" r:id="rId14"/>
  </sheets>
  <definedNames>
    <definedName name="Client_Name">'Model Parameters'!$G$12</definedName>
    <definedName name="Days_in_Year">'Model Parameters'!$G$19</definedName>
    <definedName name="HL_1">Cover!$A$3</definedName>
    <definedName name="HL_10">Unreliable_XNPV!$A$3</definedName>
    <definedName name="HL_11">'XIRR Examples'!$A$3</definedName>
    <definedName name="HL_12">'XIRR Examples_Negative Start'!$A$3</definedName>
    <definedName name="HL_13">'Error Checks'!$A$3</definedName>
    <definedName name="HL_14">'Change Log'!$A$3</definedName>
    <definedName name="HL_3">'Style Guide'!$A$3</definedName>
    <definedName name="HL_4">'Model Parameters'!$A$3</definedName>
    <definedName name="HL_5">'IRR vs. XIRR'!$A$3</definedName>
    <definedName name="HL_6">'Care with Date'!$A$3</definedName>
    <definedName name="HL_7">'Value Not Right'!$A$3</definedName>
    <definedName name="HL_8">'Positive Number'!$A$3</definedName>
    <definedName name="HL_9">'Considering Orders'!$A$3</definedName>
    <definedName name="HL_Model_Parameters">'Model Parameters'!$A$5</definedName>
    <definedName name="HL_Navigator">Navigator!$A$1</definedName>
    <definedName name="Leap_Year_Divisor">Unreliable_XNPV!$H$14</definedName>
    <definedName name="Model_Name">'Model Parameters'!$G$11</definedName>
    <definedName name="Months_in_Half_Yr">'Model Parameters'!$G$22</definedName>
    <definedName name="Months_in_Month">'Model Parameters'!$G$20</definedName>
    <definedName name="Months_in_Quarter">'Model Parameters'!$G$21</definedName>
    <definedName name="Months_in_Year">'Model Parameters'!$G$23</definedName>
    <definedName name="Number_of_characters_in_year">'Care with Date'!$H$25</definedName>
    <definedName name="Overall_Error_Check">'Error Checks'!$I$17</definedName>
    <definedName name="Quarters_in_Year">'Model Parameters'!$G$24</definedName>
    <definedName name="Rate_Used">'XIRR Examples'!$F$47</definedName>
    <definedName name="Rounding_Accuracy">'Model Parameters'!$G$26</definedName>
    <definedName name="Thousand">'Model Parameters'!$G$31</definedName>
    <definedName name="Very_Large_Number">'Model Parameters'!$G$28</definedName>
    <definedName name="Very_small_neg_no">'Positive Number'!$H$13</definedName>
    <definedName name="Very_Small_Number">'Model Parameters'!$G$29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 i="20" l="1"/>
  <c r="B6" i="20" l="1"/>
  <c r="A1" i="20"/>
  <c r="S17" i="20"/>
  <c r="S18" i="20"/>
  <c r="S19" i="20"/>
  <c r="S20" i="20"/>
  <c r="S21" i="20"/>
  <c r="S22" i="20"/>
  <c r="S23" i="20"/>
  <c r="S24" i="20"/>
  <c r="S25" i="20"/>
  <c r="S26" i="20"/>
  <c r="S27" i="20"/>
  <c r="S28" i="20"/>
  <c r="S29" i="20"/>
  <c r="S30" i="20"/>
  <c r="S31" i="20"/>
  <c r="S32" i="20"/>
  <c r="S33" i="20"/>
  <c r="S34" i="20"/>
  <c r="S35" i="20"/>
  <c r="S36" i="20"/>
  <c r="S37" i="20"/>
  <c r="S38" i="20"/>
  <c r="S39" i="20"/>
  <c r="S40" i="20"/>
  <c r="I16" i="20"/>
  <c r="I21" i="20" s="1"/>
  <c r="J16" i="20"/>
  <c r="J22" i="20" s="1"/>
  <c r="K16" i="20"/>
  <c r="K22" i="20" s="1"/>
  <c r="L16" i="20"/>
  <c r="L31" i="20" s="1"/>
  <c r="M16" i="20"/>
  <c r="M18" i="20" s="1"/>
  <c r="N16" i="20"/>
  <c r="N18" i="20" s="1"/>
  <c r="O16" i="20"/>
  <c r="O18" i="20" s="1"/>
  <c r="P16" i="20"/>
  <c r="P19" i="20" s="1"/>
  <c r="Q16" i="20"/>
  <c r="Q19" i="20" s="1"/>
  <c r="R16" i="20"/>
  <c r="R26" i="20" s="1"/>
  <c r="S16" i="20"/>
  <c r="H16" i="20"/>
  <c r="H21" i="20" s="1"/>
  <c r="I17" i="20"/>
  <c r="J17" i="20"/>
  <c r="K17" i="20"/>
  <c r="L17" i="20"/>
  <c r="M17" i="20"/>
  <c r="N17" i="20"/>
  <c r="O17" i="20"/>
  <c r="K18" i="20"/>
  <c r="I19" i="20"/>
  <c r="I20" i="20"/>
  <c r="I22" i="20"/>
  <c r="I23" i="20"/>
  <c r="I24" i="20"/>
  <c r="J24" i="20"/>
  <c r="K24" i="20"/>
  <c r="I25" i="20"/>
  <c r="K25" i="20"/>
  <c r="I26" i="20"/>
  <c r="K26" i="20"/>
  <c r="K27" i="20"/>
  <c r="M27" i="20"/>
  <c r="I28" i="20"/>
  <c r="L28" i="20"/>
  <c r="I29" i="20"/>
  <c r="K29" i="20"/>
  <c r="I30" i="20"/>
  <c r="I31" i="20"/>
  <c r="K31" i="20"/>
  <c r="N31" i="20"/>
  <c r="I32" i="20"/>
  <c r="K32" i="20"/>
  <c r="R33" i="20"/>
  <c r="I35" i="20"/>
  <c r="I36" i="20"/>
  <c r="M37" i="20"/>
  <c r="K38" i="20"/>
  <c r="I40" i="20"/>
  <c r="Y16" i="20"/>
  <c r="Y17" i="20"/>
  <c r="Y18" i="20"/>
  <c r="Y19" i="20"/>
  <c r="Y20" i="20"/>
  <c r="Y21" i="20"/>
  <c r="Y22" i="20"/>
  <c r="Y23" i="20"/>
  <c r="Y24" i="20"/>
  <c r="Y25" i="20"/>
  <c r="Y26" i="20"/>
  <c r="Y27" i="20"/>
  <c r="Y28" i="20"/>
  <c r="Y29" i="20"/>
  <c r="Y30" i="20"/>
  <c r="Y31" i="20"/>
  <c r="Y32" i="20"/>
  <c r="Y33" i="20"/>
  <c r="Y34" i="20"/>
  <c r="Y35" i="20"/>
  <c r="Y36" i="20"/>
  <c r="Y37" i="20"/>
  <c r="Y38" i="20"/>
  <c r="Y39" i="20"/>
  <c r="Y40" i="20"/>
  <c r="X15" i="20"/>
  <c r="Y15" i="20"/>
  <c r="W15" i="20"/>
  <c r="V15" i="20"/>
  <c r="U15" i="20"/>
  <c r="F12" i="21"/>
  <c r="G29" i="20"/>
  <c r="H15" i="20"/>
  <c r="I15" i="20" s="1"/>
  <c r="J15" i="20" s="1"/>
  <c r="K15" i="20" s="1"/>
  <c r="L15" i="20" s="1"/>
  <c r="M15" i="20" s="1"/>
  <c r="N15" i="20" s="1"/>
  <c r="O15" i="20" s="1"/>
  <c r="P15" i="20" s="1"/>
  <c r="Q15" i="20" s="1"/>
  <c r="R15" i="20" s="1"/>
  <c r="S15" i="20" s="1"/>
  <c r="F13" i="20"/>
  <c r="F12" i="20"/>
  <c r="B6" i="19"/>
  <c r="A1" i="19"/>
  <c r="C6" i="19" s="1"/>
  <c r="H16" i="14"/>
  <c r="H17" i="14"/>
  <c r="H18" i="14"/>
  <c r="H15" i="14"/>
  <c r="G74" i="17"/>
  <c r="F75" i="17"/>
  <c r="F76" i="17" s="1"/>
  <c r="Q27" i="20" l="1"/>
  <c r="P37" i="20"/>
  <c r="N32" i="20"/>
  <c r="O37" i="20"/>
  <c r="N37" i="20"/>
  <c r="N23" i="20"/>
  <c r="M21" i="20"/>
  <c r="P17" i="20"/>
  <c r="O22" i="20"/>
  <c r="P36" i="20"/>
  <c r="N26" i="20"/>
  <c r="P40" i="20"/>
  <c r="P35" i="20"/>
  <c r="P20" i="20"/>
  <c r="O40" i="20"/>
  <c r="O35" i="20"/>
  <c r="N29" i="20"/>
  <c r="M25" i="20"/>
  <c r="M20" i="20"/>
  <c r="O26" i="20"/>
  <c r="N35" i="20"/>
  <c r="P39" i="20"/>
  <c r="N19" i="20"/>
  <c r="N38" i="20"/>
  <c r="M34" i="20"/>
  <c r="K19" i="20"/>
  <c r="G23" i="20"/>
  <c r="Q36" i="20"/>
  <c r="Q17" i="20"/>
  <c r="H17" i="20"/>
  <c r="O39" i="20"/>
  <c r="Q33" i="20"/>
  <c r="M30" i="20"/>
  <c r="L27" i="20"/>
  <c r="M24" i="20"/>
  <c r="L21" i="20"/>
  <c r="G31" i="20"/>
  <c r="G33" i="20"/>
  <c r="H30" i="20"/>
  <c r="M39" i="20"/>
  <c r="M36" i="20"/>
  <c r="M33" i="20"/>
  <c r="J30" i="20"/>
  <c r="L24" i="20"/>
  <c r="R20" i="20"/>
  <c r="H26" i="20"/>
  <c r="O38" i="20"/>
  <c r="J33" i="20"/>
  <c r="J27" i="20"/>
  <c r="G35" i="20"/>
  <c r="H24" i="20"/>
  <c r="Q32" i="20"/>
  <c r="H20" i="20"/>
  <c r="M38" i="20"/>
  <c r="M29" i="20"/>
  <c r="H19" i="20"/>
  <c r="L38" i="20"/>
  <c r="M32" i="20"/>
  <c r="M26" i="20"/>
  <c r="Q40" i="20"/>
  <c r="M35" i="20"/>
  <c r="M23" i="20"/>
  <c r="M19" i="20"/>
  <c r="L35" i="20"/>
  <c r="M28" i="20"/>
  <c r="M40" i="20"/>
  <c r="Q34" i="20"/>
  <c r="M31" i="20"/>
  <c r="L25" i="20"/>
  <c r="M22" i="20"/>
  <c r="L18" i="20"/>
  <c r="K36" i="20"/>
  <c r="O34" i="20"/>
  <c r="O32" i="20"/>
  <c r="P30" i="20"/>
  <c r="O28" i="20"/>
  <c r="P26" i="20"/>
  <c r="P24" i="20"/>
  <c r="J23" i="20"/>
  <c r="Q20" i="20"/>
  <c r="G27" i="20"/>
  <c r="Q39" i="20"/>
  <c r="I38" i="20"/>
  <c r="Q35" i="20"/>
  <c r="I34" i="20"/>
  <c r="K30" i="20"/>
  <c r="P22" i="20"/>
  <c r="O20" i="20"/>
  <c r="I18" i="20"/>
  <c r="K20" i="20"/>
  <c r="P33" i="20"/>
  <c r="P31" i="20"/>
  <c r="P29" i="20"/>
  <c r="P27" i="20"/>
  <c r="K39" i="20"/>
  <c r="O33" i="20"/>
  <c r="O31" i="20"/>
  <c r="O29" i="20"/>
  <c r="O27" i="20"/>
  <c r="O25" i="20"/>
  <c r="Q23" i="20"/>
  <c r="Q21" i="20"/>
  <c r="O19" i="20"/>
  <c r="Q38" i="20"/>
  <c r="K37" i="20"/>
  <c r="P23" i="20"/>
  <c r="O21" i="20"/>
  <c r="P38" i="20"/>
  <c r="I37" i="20"/>
  <c r="K35" i="20"/>
  <c r="K33" i="20"/>
  <c r="O23" i="20"/>
  <c r="K21" i="20"/>
  <c r="P34" i="20"/>
  <c r="P32" i="20"/>
  <c r="Q30" i="20"/>
  <c r="P28" i="20"/>
  <c r="Q26" i="20"/>
  <c r="Q24" i="20"/>
  <c r="K23" i="20"/>
  <c r="P18" i="20"/>
  <c r="R36" i="20"/>
  <c r="R23" i="20"/>
  <c r="J21" i="20"/>
  <c r="J18" i="20"/>
  <c r="R17" i="20"/>
  <c r="G37" i="20"/>
  <c r="H38" i="20"/>
  <c r="H18" i="20"/>
  <c r="L32" i="20"/>
  <c r="R27" i="20"/>
  <c r="L22" i="20"/>
  <c r="L19" i="20"/>
  <c r="G39" i="20"/>
  <c r="H37" i="20"/>
  <c r="R40" i="20"/>
  <c r="L39" i="20"/>
  <c r="R37" i="20"/>
  <c r="L36" i="20"/>
  <c r="J35" i="20"/>
  <c r="L29" i="20"/>
  <c r="R24" i="20"/>
  <c r="G17" i="20"/>
  <c r="H36" i="20"/>
  <c r="L26" i="20"/>
  <c r="R21" i="20"/>
  <c r="N20" i="20"/>
  <c r="G19" i="20"/>
  <c r="H32" i="20"/>
  <c r="J39" i="20"/>
  <c r="J36" i="20"/>
  <c r="R34" i="20"/>
  <c r="L33" i="20"/>
  <c r="R31" i="20"/>
  <c r="L30" i="20"/>
  <c r="J29" i="20"/>
  <c r="L23" i="20"/>
  <c r="R18" i="20"/>
  <c r="G21" i="20"/>
  <c r="H31" i="20"/>
  <c r="R38" i="20"/>
  <c r="P21" i="20"/>
  <c r="L20" i="20"/>
  <c r="Q18" i="20"/>
  <c r="R30" i="20"/>
  <c r="R35" i="20"/>
  <c r="R28" i="20"/>
  <c r="R25" i="20"/>
  <c r="G25" i="20"/>
  <c r="H29" i="20"/>
  <c r="L40" i="20"/>
  <c r="L37" i="20"/>
  <c r="R32" i="20"/>
  <c r="Q28" i="20"/>
  <c r="P25" i="20"/>
  <c r="R29" i="20"/>
  <c r="R22" i="20"/>
  <c r="R19" i="20"/>
  <c r="H25" i="20"/>
  <c r="R39" i="20"/>
  <c r="L34" i="20"/>
  <c r="Q29" i="20"/>
  <c r="N25" i="20"/>
  <c r="Q22" i="20"/>
  <c r="N39" i="20"/>
  <c r="J37" i="20"/>
  <c r="N33" i="20"/>
  <c r="J31" i="20"/>
  <c r="N27" i="20"/>
  <c r="J25" i="20"/>
  <c r="N21" i="20"/>
  <c r="J19" i="20"/>
  <c r="N40" i="20"/>
  <c r="J38" i="20"/>
  <c r="N34" i="20"/>
  <c r="J32" i="20"/>
  <c r="N28" i="20"/>
  <c r="J26" i="20"/>
  <c r="N22" i="20"/>
  <c r="J20" i="20"/>
  <c r="K40" i="20"/>
  <c r="I39" i="20"/>
  <c r="Q37" i="20"/>
  <c r="O36" i="20"/>
  <c r="K34" i="20"/>
  <c r="I33" i="20"/>
  <c r="Q31" i="20"/>
  <c r="O30" i="20"/>
  <c r="K28" i="20"/>
  <c r="I27" i="20"/>
  <c r="Q25" i="20"/>
  <c r="O24" i="20"/>
  <c r="J40" i="20"/>
  <c r="N36" i="20"/>
  <c r="J34" i="20"/>
  <c r="N30" i="20"/>
  <c r="J28" i="20"/>
  <c r="N24" i="20"/>
  <c r="H40" i="20"/>
  <c r="H28" i="20"/>
  <c r="H39" i="20"/>
  <c r="H27" i="20"/>
  <c r="H35" i="20"/>
  <c r="H23" i="20"/>
  <c r="H34" i="20"/>
  <c r="H22" i="20"/>
  <c r="H33" i="20"/>
  <c r="V16" i="20"/>
  <c r="G15" i="20"/>
  <c r="G18" i="20"/>
  <c r="G20" i="20"/>
  <c r="G22" i="20"/>
  <c r="G24" i="20"/>
  <c r="G26" i="20"/>
  <c r="G28" i="20"/>
  <c r="G30" i="20"/>
  <c r="G32" i="20"/>
  <c r="G34" i="20"/>
  <c r="G36" i="20"/>
  <c r="G38" i="20"/>
  <c r="G40" i="20"/>
  <c r="F77" i="17"/>
  <c r="B6" i="21"/>
  <c r="A1" i="21"/>
  <c r="V21" i="20" l="1"/>
  <c r="V19" i="20"/>
  <c r="U17" i="20"/>
  <c r="U18" i="20"/>
  <c r="U19" i="20"/>
  <c r="V23" i="20"/>
  <c r="V37" i="20"/>
  <c r="V29" i="20"/>
  <c r="V17" i="20"/>
  <c r="V31" i="20"/>
  <c r="V39" i="20"/>
  <c r="V33" i="20"/>
  <c r="U21" i="20"/>
  <c r="U16" i="20"/>
  <c r="U39" i="20"/>
  <c r="U27" i="20"/>
  <c r="U25" i="20"/>
  <c r="U37" i="20"/>
  <c r="U35" i="20"/>
  <c r="U23" i="20"/>
  <c r="U31" i="20"/>
  <c r="V36" i="20"/>
  <c r="U36" i="20"/>
  <c r="V24" i="20"/>
  <c r="U24" i="20"/>
  <c r="U33" i="20"/>
  <c r="V34" i="20"/>
  <c r="U34" i="20"/>
  <c r="V27" i="20"/>
  <c r="V35" i="20"/>
  <c r="V22" i="20"/>
  <c r="U22" i="20"/>
  <c r="V32" i="20"/>
  <c r="U32" i="20"/>
  <c r="V20" i="20"/>
  <c r="U20" i="20"/>
  <c r="U29" i="20"/>
  <c r="V28" i="20"/>
  <c r="U28" i="20"/>
  <c r="V38" i="20"/>
  <c r="U38" i="20"/>
  <c r="V30" i="20"/>
  <c r="U30" i="20"/>
  <c r="V18" i="20"/>
  <c r="V25" i="20"/>
  <c r="V40" i="20"/>
  <c r="U40" i="20"/>
  <c r="V26" i="20"/>
  <c r="U26" i="20"/>
  <c r="F78" i="17"/>
  <c r="F52" i="21"/>
  <c r="R52" i="21"/>
  <c r="G46" i="21"/>
  <c r="Q40" i="21"/>
  <c r="P40" i="21"/>
  <c r="O40" i="21"/>
  <c r="N40" i="21"/>
  <c r="M40" i="21"/>
  <c r="L40" i="21"/>
  <c r="K40" i="21"/>
  <c r="J40" i="21"/>
  <c r="I40" i="21"/>
  <c r="H40" i="21"/>
  <c r="G40" i="21"/>
  <c r="Q39" i="21"/>
  <c r="P39" i="21"/>
  <c r="O39" i="21"/>
  <c r="N39" i="21"/>
  <c r="M39" i="21"/>
  <c r="L39" i="21"/>
  <c r="K39" i="21"/>
  <c r="J39" i="21"/>
  <c r="I39" i="21"/>
  <c r="H39" i="21"/>
  <c r="G39" i="21"/>
  <c r="Q38" i="21"/>
  <c r="P38" i="21"/>
  <c r="O38" i="21"/>
  <c r="N38" i="21"/>
  <c r="M38" i="21"/>
  <c r="L38" i="21"/>
  <c r="K38" i="21"/>
  <c r="J38" i="21"/>
  <c r="I38" i="21"/>
  <c r="H38" i="21"/>
  <c r="G38" i="21"/>
  <c r="Q37" i="21"/>
  <c r="P37" i="21"/>
  <c r="O37" i="21"/>
  <c r="N37" i="21"/>
  <c r="M37" i="21"/>
  <c r="L37" i="21"/>
  <c r="K37" i="21"/>
  <c r="J37" i="21"/>
  <c r="I37" i="21"/>
  <c r="H37" i="21"/>
  <c r="G37" i="21"/>
  <c r="Q36" i="21"/>
  <c r="P36" i="21"/>
  <c r="O36" i="21"/>
  <c r="N36" i="21"/>
  <c r="M36" i="21"/>
  <c r="L36" i="21"/>
  <c r="K36" i="21"/>
  <c r="J36" i="21"/>
  <c r="I36" i="21"/>
  <c r="H36" i="21"/>
  <c r="G36" i="21"/>
  <c r="Q35" i="21"/>
  <c r="P35" i="21"/>
  <c r="O35" i="21"/>
  <c r="N35" i="21"/>
  <c r="M35" i="21"/>
  <c r="L35" i="21"/>
  <c r="K35" i="21"/>
  <c r="J35" i="21"/>
  <c r="I35" i="21"/>
  <c r="H35" i="21"/>
  <c r="G35" i="21"/>
  <c r="Q34" i="21"/>
  <c r="P34" i="21"/>
  <c r="O34" i="21"/>
  <c r="N34" i="21"/>
  <c r="M34" i="21"/>
  <c r="L34" i="21"/>
  <c r="K34" i="21"/>
  <c r="J34" i="21"/>
  <c r="I34" i="21"/>
  <c r="H34" i="21"/>
  <c r="G34" i="21"/>
  <c r="Q33" i="21"/>
  <c r="P33" i="21"/>
  <c r="O33" i="21"/>
  <c r="N33" i="21"/>
  <c r="M33" i="21"/>
  <c r="L33" i="21"/>
  <c r="K33" i="21"/>
  <c r="J33" i="21"/>
  <c r="I33" i="21"/>
  <c r="H33" i="21"/>
  <c r="G33" i="21"/>
  <c r="Q32" i="21"/>
  <c r="P32" i="21"/>
  <c r="O32" i="21"/>
  <c r="N32" i="21"/>
  <c r="M32" i="21"/>
  <c r="L32" i="21"/>
  <c r="K32" i="21"/>
  <c r="J32" i="21"/>
  <c r="I32" i="21"/>
  <c r="H32" i="21"/>
  <c r="G32" i="21"/>
  <c r="Q31" i="21"/>
  <c r="P31" i="21"/>
  <c r="O31" i="21"/>
  <c r="N31" i="21"/>
  <c r="M31" i="21"/>
  <c r="L31" i="21"/>
  <c r="K31" i="21"/>
  <c r="J31" i="21"/>
  <c r="I31" i="21"/>
  <c r="H31" i="21"/>
  <c r="G31" i="21"/>
  <c r="Q30" i="21"/>
  <c r="P30" i="21"/>
  <c r="O30" i="21"/>
  <c r="N30" i="21"/>
  <c r="M30" i="21"/>
  <c r="L30" i="21"/>
  <c r="K30" i="21"/>
  <c r="J30" i="21"/>
  <c r="I30" i="21"/>
  <c r="H30" i="21"/>
  <c r="G30" i="21"/>
  <c r="Q29" i="21"/>
  <c r="P29" i="21"/>
  <c r="O29" i="21"/>
  <c r="N29" i="21"/>
  <c r="M29" i="21"/>
  <c r="L29" i="21"/>
  <c r="K29" i="21"/>
  <c r="J29" i="21"/>
  <c r="I29" i="21"/>
  <c r="H29" i="21"/>
  <c r="G29" i="21"/>
  <c r="Q28" i="21"/>
  <c r="P28" i="21"/>
  <c r="O28" i="21"/>
  <c r="N28" i="21"/>
  <c r="M28" i="21"/>
  <c r="L28" i="21"/>
  <c r="K28" i="21"/>
  <c r="J28" i="21"/>
  <c r="I28" i="21"/>
  <c r="H28" i="21"/>
  <c r="G28" i="21"/>
  <c r="Q27" i="21"/>
  <c r="P27" i="21"/>
  <c r="O27" i="21"/>
  <c r="N27" i="21"/>
  <c r="M27" i="21"/>
  <c r="L27" i="21"/>
  <c r="K27" i="21"/>
  <c r="J27" i="21"/>
  <c r="I27" i="21"/>
  <c r="H27" i="21"/>
  <c r="G27" i="21"/>
  <c r="Q26" i="21"/>
  <c r="P26" i="21"/>
  <c r="O26" i="21"/>
  <c r="N26" i="21"/>
  <c r="M26" i="21"/>
  <c r="L26" i="21"/>
  <c r="K26" i="21"/>
  <c r="J26" i="21"/>
  <c r="I26" i="21"/>
  <c r="H26" i="21"/>
  <c r="G26" i="21"/>
  <c r="Q25" i="21"/>
  <c r="P25" i="21"/>
  <c r="O25" i="21"/>
  <c r="N25" i="21"/>
  <c r="M25" i="21"/>
  <c r="L25" i="21"/>
  <c r="K25" i="21"/>
  <c r="J25" i="21"/>
  <c r="I25" i="21"/>
  <c r="H25" i="21"/>
  <c r="G25" i="21"/>
  <c r="Q24" i="21"/>
  <c r="P24" i="21"/>
  <c r="O24" i="21"/>
  <c r="N24" i="21"/>
  <c r="M24" i="21"/>
  <c r="L24" i="21"/>
  <c r="K24" i="21"/>
  <c r="J24" i="21"/>
  <c r="I24" i="21"/>
  <c r="H24" i="21"/>
  <c r="G24" i="21"/>
  <c r="Q23" i="21"/>
  <c r="P23" i="21"/>
  <c r="O23" i="21"/>
  <c r="N23" i="21"/>
  <c r="M23" i="21"/>
  <c r="L23" i="21"/>
  <c r="K23" i="21"/>
  <c r="J23" i="21"/>
  <c r="I23" i="21"/>
  <c r="H23" i="21"/>
  <c r="G23" i="21"/>
  <c r="Q22" i="21"/>
  <c r="Q52" i="21" s="1"/>
  <c r="P22" i="21"/>
  <c r="P52" i="21" s="1"/>
  <c r="O22" i="21"/>
  <c r="O52" i="21" s="1"/>
  <c r="N22" i="21"/>
  <c r="N52" i="21" s="1"/>
  <c r="M22" i="21"/>
  <c r="M52" i="21" s="1"/>
  <c r="L22" i="21"/>
  <c r="L52" i="21" s="1"/>
  <c r="K22" i="21"/>
  <c r="K52" i="21" s="1"/>
  <c r="J22" i="21"/>
  <c r="J52" i="21" s="1"/>
  <c r="I22" i="21"/>
  <c r="I52" i="21" s="1"/>
  <c r="H22" i="21"/>
  <c r="H52" i="21" s="1"/>
  <c r="G22" i="21"/>
  <c r="G52" i="21" s="1"/>
  <c r="Q21" i="21"/>
  <c r="P21" i="21"/>
  <c r="O21" i="21"/>
  <c r="N21" i="21"/>
  <c r="M21" i="21"/>
  <c r="L21" i="21"/>
  <c r="K21" i="21"/>
  <c r="J21" i="21"/>
  <c r="I21" i="21"/>
  <c r="H21" i="21"/>
  <c r="G21" i="21"/>
  <c r="Q20" i="21"/>
  <c r="P20" i="21"/>
  <c r="O20" i="21"/>
  <c r="N20" i="21"/>
  <c r="M20" i="21"/>
  <c r="L20" i="21"/>
  <c r="K20" i="21"/>
  <c r="J20" i="21"/>
  <c r="I20" i="21"/>
  <c r="H20" i="21"/>
  <c r="G20" i="21"/>
  <c r="Q19" i="21"/>
  <c r="P19" i="21"/>
  <c r="O19" i="21"/>
  <c r="N19" i="21"/>
  <c r="M19" i="21"/>
  <c r="L19" i="21"/>
  <c r="K19" i="21"/>
  <c r="J19" i="21"/>
  <c r="I19" i="21"/>
  <c r="H19" i="21"/>
  <c r="G19" i="21"/>
  <c r="Q18" i="21"/>
  <c r="P18" i="21"/>
  <c r="O18" i="21"/>
  <c r="N18" i="21"/>
  <c r="M18" i="21"/>
  <c r="L18" i="21"/>
  <c r="K18" i="21"/>
  <c r="J18" i="21"/>
  <c r="I18" i="21"/>
  <c r="H18" i="21"/>
  <c r="G18" i="21"/>
  <c r="Q17" i="21"/>
  <c r="P17" i="21"/>
  <c r="O17" i="21"/>
  <c r="N17" i="21"/>
  <c r="M17" i="21"/>
  <c r="L17" i="21"/>
  <c r="K17" i="21"/>
  <c r="J17" i="21"/>
  <c r="I17" i="21"/>
  <c r="H17" i="21"/>
  <c r="G17" i="21"/>
  <c r="U16" i="21"/>
  <c r="X16" i="20" s="1"/>
  <c r="G49" i="21"/>
  <c r="G50" i="21" s="1"/>
  <c r="F13" i="21"/>
  <c r="G62" i="19"/>
  <c r="G58" i="19"/>
  <c r="I56" i="19"/>
  <c r="J55" i="19"/>
  <c r="J56" i="19" s="1"/>
  <c r="E50" i="19"/>
  <c r="G52" i="19" s="1"/>
  <c r="G45" i="19"/>
  <c r="I43" i="19"/>
  <c r="J42" i="19"/>
  <c r="K42" i="19" s="1"/>
  <c r="E37" i="19"/>
  <c r="G39" i="19" s="1"/>
  <c r="G29" i="19"/>
  <c r="G28" i="19"/>
  <c r="H26" i="19"/>
  <c r="G18" i="19"/>
  <c r="G19" i="19" s="1"/>
  <c r="G20" i="19" s="1"/>
  <c r="G21" i="19" s="1"/>
  <c r="H23" i="19" s="1"/>
  <c r="B6" i="17"/>
  <c r="A1" i="17"/>
  <c r="C6" i="17" s="1"/>
  <c r="G69" i="17"/>
  <c r="G66" i="17"/>
  <c r="G54" i="17"/>
  <c r="G51" i="17"/>
  <c r="G39" i="17"/>
  <c r="G36" i="17"/>
  <c r="H33" i="17"/>
  <c r="H48" i="17" s="1"/>
  <c r="H63" i="17" s="1"/>
  <c r="H32" i="17"/>
  <c r="H47" i="17" s="1"/>
  <c r="H62" i="17" s="1"/>
  <c r="H31" i="17"/>
  <c r="H46" i="17" s="1"/>
  <c r="H61" i="17" s="1"/>
  <c r="H30" i="17"/>
  <c r="H45" i="17" s="1"/>
  <c r="G29" i="17"/>
  <c r="G44" i="17" s="1"/>
  <c r="G59" i="17" s="1"/>
  <c r="G24" i="17"/>
  <c r="H23" i="17"/>
  <c r="G21" i="17"/>
  <c r="B6" i="16"/>
  <c r="A1" i="16"/>
  <c r="C6" i="16" s="1"/>
  <c r="G37" i="16"/>
  <c r="G36" i="16"/>
  <c r="G35" i="16"/>
  <c r="G34" i="16"/>
  <c r="H29" i="16"/>
  <c r="H18" i="16"/>
  <c r="B6" i="15"/>
  <c r="A1" i="15"/>
  <c r="C6" i="15" s="1"/>
  <c r="H12" i="15"/>
  <c r="G41" i="15"/>
  <c r="G38" i="15"/>
  <c r="H31" i="15"/>
  <c r="G30" i="15"/>
  <c r="G25" i="15"/>
  <c r="G22" i="15"/>
  <c r="H35" i="15"/>
  <c r="H34" i="15"/>
  <c r="H33" i="15"/>
  <c r="G32" i="15"/>
  <c r="H12" i="14"/>
  <c r="B6" i="14"/>
  <c r="A1" i="14"/>
  <c r="C6" i="14" s="1"/>
  <c r="G54" i="14"/>
  <c r="G51" i="14"/>
  <c r="G39" i="14"/>
  <c r="G36" i="14"/>
  <c r="G29" i="14"/>
  <c r="G44" i="14" s="1"/>
  <c r="G24" i="14"/>
  <c r="G21" i="14"/>
  <c r="H45" i="14"/>
  <c r="H47" i="14"/>
  <c r="H48" i="14"/>
  <c r="B6" i="12"/>
  <c r="A1" i="12"/>
  <c r="C6" i="12" s="1"/>
  <c r="P24" i="12"/>
  <c r="O24" i="12"/>
  <c r="N24" i="12"/>
  <c r="M24" i="12"/>
  <c r="L24" i="12"/>
  <c r="K24" i="12"/>
  <c r="J24" i="12"/>
  <c r="I24" i="12"/>
  <c r="P23" i="12"/>
  <c r="O23" i="12"/>
  <c r="N23" i="12"/>
  <c r="M23" i="12"/>
  <c r="L23" i="12"/>
  <c r="K23" i="12"/>
  <c r="J23" i="12"/>
  <c r="I23" i="12"/>
  <c r="G23" i="12"/>
  <c r="G24" i="12" s="1"/>
  <c r="P22" i="12"/>
  <c r="O22" i="12"/>
  <c r="N22" i="12"/>
  <c r="M22" i="12"/>
  <c r="L22" i="12"/>
  <c r="K22" i="12"/>
  <c r="J22" i="12"/>
  <c r="I22" i="12"/>
  <c r="I21" i="12"/>
  <c r="H15" i="12"/>
  <c r="H14" i="12"/>
  <c r="G14" i="12"/>
  <c r="G15" i="12" s="1"/>
  <c r="H13" i="12"/>
  <c r="F79" i="17" l="1"/>
  <c r="G31" i="15"/>
  <c r="U25" i="21"/>
  <c r="X25" i="20" s="1"/>
  <c r="U37" i="21"/>
  <c r="X37" i="20" s="1"/>
  <c r="K43" i="19"/>
  <c r="L42" i="19"/>
  <c r="L43" i="19" s="1"/>
  <c r="J43" i="19"/>
  <c r="U24" i="21"/>
  <c r="X24" i="20" s="1"/>
  <c r="U31" i="21"/>
  <c r="X31" i="20" s="1"/>
  <c r="U36" i="21"/>
  <c r="X36" i="20" s="1"/>
  <c r="H24" i="15"/>
  <c r="U26" i="21"/>
  <c r="X26" i="20" s="1"/>
  <c r="U38" i="21"/>
  <c r="X38" i="20" s="1"/>
  <c r="U23" i="21"/>
  <c r="X23" i="20" s="1"/>
  <c r="U35" i="21"/>
  <c r="X35" i="20" s="1"/>
  <c r="U22" i="21"/>
  <c r="X22" i="20" s="1"/>
  <c r="U34" i="21"/>
  <c r="X34" i="20" s="1"/>
  <c r="U21" i="21"/>
  <c r="X21" i="20" s="1"/>
  <c r="U33" i="21"/>
  <c r="X33" i="20" s="1"/>
  <c r="U20" i="21"/>
  <c r="X20" i="20" s="1"/>
  <c r="U32" i="21"/>
  <c r="X32" i="20" s="1"/>
  <c r="U19" i="21"/>
  <c r="X19" i="20" s="1"/>
  <c r="U18" i="21"/>
  <c r="X18" i="20" s="1"/>
  <c r="U30" i="21"/>
  <c r="X30" i="20" s="1"/>
  <c r="U17" i="21"/>
  <c r="X17" i="20" s="1"/>
  <c r="U29" i="21"/>
  <c r="X29" i="20" s="1"/>
  <c r="U28" i="21"/>
  <c r="X28" i="20" s="1"/>
  <c r="U40" i="21"/>
  <c r="X40" i="20" s="1"/>
  <c r="U27" i="21"/>
  <c r="X27" i="20" s="1"/>
  <c r="U39" i="21"/>
  <c r="X39" i="20" s="1"/>
  <c r="H15" i="21"/>
  <c r="K55" i="19"/>
  <c r="K56" i="19" s="1"/>
  <c r="H29" i="19"/>
  <c r="H52" i="19"/>
  <c r="H53" i="19" s="1"/>
  <c r="H25" i="19"/>
  <c r="M42" i="19"/>
  <c r="M43" i="19" s="1"/>
  <c r="L55" i="19"/>
  <c r="H60" i="17"/>
  <c r="H53" i="17"/>
  <c r="H38" i="17"/>
  <c r="G30" i="17"/>
  <c r="G45" i="17" s="1"/>
  <c r="G60" i="17" s="1"/>
  <c r="G16" i="17"/>
  <c r="H39" i="16"/>
  <c r="H32" i="15"/>
  <c r="H40" i="15" s="1"/>
  <c r="G17" i="15"/>
  <c r="H23" i="14"/>
  <c r="G16" i="14"/>
  <c r="G17" i="14" s="1"/>
  <c r="H30" i="14"/>
  <c r="H31" i="14"/>
  <c r="H32" i="14"/>
  <c r="H46" i="14"/>
  <c r="H53" i="14" s="1"/>
  <c r="H33" i="14"/>
  <c r="G48" i="14"/>
  <c r="G31" i="14"/>
  <c r="J21" i="12"/>
  <c r="F80" i="17" l="1"/>
  <c r="H49" i="21"/>
  <c r="H50" i="21" s="1"/>
  <c r="I15" i="21"/>
  <c r="H28" i="19"/>
  <c r="H31" i="19" s="1"/>
  <c r="H39" i="19"/>
  <c r="H40" i="19" s="1"/>
  <c r="I57" i="19"/>
  <c r="I58" i="19" s="1"/>
  <c r="L57" i="19"/>
  <c r="K57" i="19"/>
  <c r="K58" i="19" s="1"/>
  <c r="J57" i="19"/>
  <c r="J58" i="19" s="1"/>
  <c r="L56" i="19"/>
  <c r="M55" i="19"/>
  <c r="M56" i="19" s="1"/>
  <c r="G17" i="17"/>
  <c r="G31" i="17"/>
  <c r="G46" i="17" s="1"/>
  <c r="H68" i="17"/>
  <c r="G18" i="15"/>
  <c r="G33" i="15"/>
  <c r="H54" i="14"/>
  <c r="H38" i="14"/>
  <c r="G47" i="14"/>
  <c r="G30" i="14"/>
  <c r="G18" i="14"/>
  <c r="H24" i="14" s="1"/>
  <c r="G33" i="14"/>
  <c r="G46" i="14"/>
  <c r="K21" i="12"/>
  <c r="F81" i="17" l="1"/>
  <c r="L58" i="19"/>
  <c r="J15" i="21"/>
  <c r="I49" i="21"/>
  <c r="I50" i="21" s="1"/>
  <c r="M57" i="19"/>
  <c r="M58" i="19" s="1"/>
  <c r="I44" i="19"/>
  <c r="I45" i="19" s="1"/>
  <c r="J44" i="19"/>
  <c r="J45" i="19" s="1"/>
  <c r="M44" i="19"/>
  <c r="M45" i="19" s="1"/>
  <c r="L44" i="19"/>
  <c r="L45" i="19" s="1"/>
  <c r="K44" i="19"/>
  <c r="K45" i="19" s="1"/>
  <c r="G61" i="17"/>
  <c r="G32" i="17"/>
  <c r="G47" i="17" s="1"/>
  <c r="G18" i="17"/>
  <c r="G19" i="15"/>
  <c r="H25" i="15" s="1"/>
  <c r="G34" i="15"/>
  <c r="H39" i="14"/>
  <c r="G45" i="14"/>
  <c r="H50" i="14" s="1"/>
  <c r="H51" i="14" s="1"/>
  <c r="G32" i="14"/>
  <c r="H35" i="14" s="1"/>
  <c r="H36" i="14" s="1"/>
  <c r="H20" i="14"/>
  <c r="H21" i="14" s="1"/>
  <c r="L21" i="12"/>
  <c r="G76" i="17" l="1"/>
  <c r="G77" i="17"/>
  <c r="G78" i="17"/>
  <c r="G80" i="17"/>
  <c r="G81" i="17"/>
  <c r="G79" i="17"/>
  <c r="G33" i="17"/>
  <c r="G48" i="17" s="1"/>
  <c r="G63" i="17" s="1"/>
  <c r="G75" i="17"/>
  <c r="F82" i="17"/>
  <c r="G82" i="17" s="1"/>
  <c r="I60" i="19"/>
  <c r="K15" i="21"/>
  <c r="J49" i="21"/>
  <c r="J50" i="21" s="1"/>
  <c r="I47" i="19"/>
  <c r="H24" i="17"/>
  <c r="G62" i="17"/>
  <c r="H20" i="17"/>
  <c r="H21" i="17" s="1"/>
  <c r="G35" i="15"/>
  <c r="H21" i="15"/>
  <c r="H22" i="15" s="1"/>
  <c r="M21" i="12"/>
  <c r="H54" i="17" l="1"/>
  <c r="H50" i="17"/>
  <c r="H51" i="17" s="1"/>
  <c r="H39" i="17"/>
  <c r="H69" i="17"/>
  <c r="H35" i="17"/>
  <c r="H36" i="17" s="1"/>
  <c r="F83" i="17"/>
  <c r="G83" i="17" s="1"/>
  <c r="I62" i="19"/>
  <c r="L15" i="21"/>
  <c r="K49" i="21"/>
  <c r="K50" i="21" s="1"/>
  <c r="H65" i="17"/>
  <c r="H66" i="17" s="1"/>
  <c r="H41" i="15"/>
  <c r="H37" i="15"/>
  <c r="H38" i="15" s="1"/>
  <c r="N21" i="12"/>
  <c r="F84" i="17" l="1"/>
  <c r="G84" i="17" s="1"/>
  <c r="L49" i="21"/>
  <c r="L50" i="21" s="1"/>
  <c r="M15" i="21"/>
  <c r="O21" i="12"/>
  <c r="P21" i="12" s="1"/>
  <c r="F85" i="17" l="1"/>
  <c r="G85" i="17" s="1"/>
  <c r="M49" i="21"/>
  <c r="M50" i="21" s="1"/>
  <c r="N15" i="21"/>
  <c r="H22" i="12"/>
  <c r="H24" i="12"/>
  <c r="H23" i="12"/>
  <c r="F86" i="17" l="1"/>
  <c r="G86" i="17" s="1"/>
  <c r="N49" i="21"/>
  <c r="N50" i="21" s="1"/>
  <c r="O15" i="21"/>
  <c r="F87" i="17" l="1"/>
  <c r="G87" i="17" s="1"/>
  <c r="O49" i="21"/>
  <c r="O50" i="21" s="1"/>
  <c r="P15" i="21"/>
  <c r="F88" i="17" l="1"/>
  <c r="G88" i="17" s="1"/>
  <c r="P49" i="21"/>
  <c r="P50" i="21" s="1"/>
  <c r="Q15" i="21"/>
  <c r="F89" i="17" l="1"/>
  <c r="G89" i="17" s="1"/>
  <c r="Q49" i="21"/>
  <c r="Q50" i="21" s="1"/>
  <c r="R15" i="21"/>
  <c r="F90" i="17" l="1"/>
  <c r="G90" i="17" s="1"/>
  <c r="R49" i="21"/>
  <c r="R50" i="21" s="1"/>
  <c r="T33" i="21"/>
  <c r="W33" i="20" s="1"/>
  <c r="T31" i="21"/>
  <c r="W31" i="20" s="1"/>
  <c r="T22" i="21"/>
  <c r="W22" i="20" s="1"/>
  <c r="T40" i="21"/>
  <c r="W40" i="20" s="1"/>
  <c r="T35" i="21"/>
  <c r="W35" i="20" s="1"/>
  <c r="T39" i="21"/>
  <c r="W39" i="20" s="1"/>
  <c r="T21" i="21"/>
  <c r="W21" i="20" s="1"/>
  <c r="T34" i="21"/>
  <c r="W34" i="20" s="1"/>
  <c r="T19" i="21"/>
  <c r="W19" i="20" s="1"/>
  <c r="T32" i="21"/>
  <c r="W32" i="20" s="1"/>
  <c r="T16" i="21"/>
  <c r="W16" i="20" s="1"/>
  <c r="T37" i="21"/>
  <c r="W37" i="20" s="1"/>
  <c r="T29" i="21"/>
  <c r="W29" i="20" s="1"/>
  <c r="T25" i="21"/>
  <c r="W25" i="20" s="1"/>
  <c r="T30" i="21"/>
  <c r="W30" i="20" s="1"/>
  <c r="T17" i="21"/>
  <c r="W17" i="20" s="1"/>
  <c r="T36" i="21"/>
  <c r="W36" i="20" s="1"/>
  <c r="T18" i="21"/>
  <c r="W18" i="20" s="1"/>
  <c r="T28" i="21"/>
  <c r="W28" i="20" s="1"/>
  <c r="T24" i="21"/>
  <c r="W24" i="20" s="1"/>
  <c r="T23" i="21"/>
  <c r="W23" i="20" s="1"/>
  <c r="T26" i="21"/>
  <c r="W26" i="20" s="1"/>
  <c r="T27" i="21"/>
  <c r="W27" i="20" s="1"/>
  <c r="T20" i="21"/>
  <c r="W20" i="20" s="1"/>
  <c r="T38" i="21"/>
  <c r="W38" i="20" s="1"/>
  <c r="F91" i="17" l="1"/>
  <c r="G91" i="17" s="1"/>
  <c r="F47" i="21"/>
  <c r="K54" i="21" s="1"/>
  <c r="K56" i="21" s="1"/>
  <c r="F92" i="17" l="1"/>
  <c r="G92" i="17" s="1"/>
  <c r="P54" i="21"/>
  <c r="P56" i="21" s="1"/>
  <c r="Q54" i="21"/>
  <c r="Q56" i="21" s="1"/>
  <c r="R54" i="21"/>
  <c r="R56" i="21" s="1"/>
  <c r="M54" i="21"/>
  <c r="M56" i="21" s="1"/>
  <c r="N54" i="21"/>
  <c r="N56" i="21" s="1"/>
  <c r="L54" i="21"/>
  <c r="L56" i="21" s="1"/>
  <c r="O54" i="21"/>
  <c r="O56" i="21" s="1"/>
  <c r="I54" i="21"/>
  <c r="I56" i="21" s="1"/>
  <c r="G54" i="21"/>
  <c r="G56" i="21" s="1"/>
  <c r="H54" i="21"/>
  <c r="H56" i="21" s="1"/>
  <c r="J54" i="21"/>
  <c r="J56" i="21" s="1"/>
  <c r="F93" i="17" l="1"/>
  <c r="G93" i="17" s="1"/>
  <c r="G58" i="21"/>
  <c r="F94" i="17" l="1"/>
  <c r="G94" i="17" s="1"/>
  <c r="B6" i="9"/>
  <c r="A1" i="9"/>
  <c r="C6" i="9" s="1"/>
  <c r="F95" i="17" l="1"/>
  <c r="G95" i="17" s="1"/>
  <c r="F96" i="17" l="1"/>
  <c r="G96" i="17" s="1"/>
  <c r="F97" i="17" l="1"/>
  <c r="G97" i="17" s="1"/>
  <c r="F98" i="17" l="1"/>
  <c r="G98" i="17" s="1"/>
  <c r="F99" i="17" l="1"/>
  <c r="G99" i="17" s="1"/>
  <c r="F100" i="17" l="1"/>
  <c r="G100" i="17" s="1"/>
  <c r="F101" i="17" l="1"/>
  <c r="G101" i="17" s="1"/>
  <c r="F102" i="17" l="1"/>
  <c r="G102" i="17" s="1"/>
  <c r="A1" i="5"/>
  <c r="F103" i="17" l="1"/>
  <c r="G103" i="17" s="1"/>
  <c r="I37" i="4"/>
  <c r="F104" i="17" l="1"/>
  <c r="G104" i="17" s="1"/>
  <c r="A1" i="2"/>
  <c r="E17" i="5"/>
  <c r="I17" i="5"/>
  <c r="B6" i="5"/>
  <c r="A1" i="4"/>
  <c r="K74" i="4"/>
  <c r="K72" i="4"/>
  <c r="K70" i="4"/>
  <c r="I70" i="4"/>
  <c r="K68" i="4"/>
  <c r="I68" i="4"/>
  <c r="K66" i="4"/>
  <c r="K64" i="4"/>
  <c r="K62" i="4"/>
  <c r="K60" i="4"/>
  <c r="K53" i="4"/>
  <c r="K51" i="4"/>
  <c r="K49" i="4"/>
  <c r="I47" i="4"/>
  <c r="K45" i="4"/>
  <c r="K43" i="4"/>
  <c r="K41" i="4"/>
  <c r="I41" i="4"/>
  <c r="I49" i="4" s="1"/>
  <c r="K37" i="4"/>
  <c r="K35" i="4"/>
  <c r="K33" i="4"/>
  <c r="K31" i="4"/>
  <c r="K29" i="4"/>
  <c r="I29" i="4"/>
  <c r="K27" i="4"/>
  <c r="I20" i="4"/>
  <c r="I18" i="4"/>
  <c r="I16" i="4"/>
  <c r="I15" i="4"/>
  <c r="I14" i="4"/>
  <c r="I13" i="4"/>
  <c r="I11" i="4"/>
  <c r="I10" i="4"/>
  <c r="B6" i="4"/>
  <c r="B23" i="4" s="1"/>
  <c r="C5" i="1"/>
  <c r="G11" i="2"/>
  <c r="A2" i="20" s="1"/>
  <c r="B6" i="2"/>
  <c r="B15" i="2" s="1"/>
  <c r="I4" i="20" l="1"/>
  <c r="I4" i="19"/>
  <c r="I4" i="21"/>
  <c r="A2" i="19"/>
  <c r="F105" i="17"/>
  <c r="G105" i="17" s="1"/>
  <c r="A2" i="21"/>
  <c r="I4" i="12"/>
  <c r="I4" i="15"/>
  <c r="I4" i="17"/>
  <c r="I4" i="14"/>
  <c r="I4" i="16"/>
  <c r="A2" i="16"/>
  <c r="A2" i="17"/>
  <c r="A2" i="14"/>
  <c r="A2" i="15"/>
  <c r="A2" i="12"/>
  <c r="F4" i="9"/>
  <c r="F4" i="5"/>
  <c r="I4" i="2"/>
  <c r="A2" i="9"/>
  <c r="G4" i="3"/>
  <c r="I4" i="4"/>
  <c r="A2" i="2"/>
  <c r="A2" i="5"/>
  <c r="B56" i="4"/>
  <c r="A2" i="4"/>
  <c r="A2" i="3"/>
  <c r="C6" i="1"/>
  <c r="F106" i="17" l="1"/>
  <c r="G106" i="17" s="1"/>
  <c r="F107" i="17" l="1"/>
  <c r="G107" i="17" s="1"/>
  <c r="F108" i="17" l="1"/>
  <c r="G108" i="17" s="1"/>
  <c r="F109" i="17" l="1"/>
  <c r="G109" i="17" s="1"/>
  <c r="F110" i="17" l="1"/>
  <c r="G110" i="17" s="1"/>
  <c r="F111" i="17" l="1"/>
  <c r="G111" i="17" s="1"/>
  <c r="F112" i="17" l="1"/>
  <c r="G112" i="17" s="1"/>
  <c r="F113" i="17" l="1"/>
  <c r="G113" i="17" s="1"/>
  <c r="F114" i="17" l="1"/>
  <c r="G114" i="17" s="1"/>
  <c r="F115" i="17" l="1"/>
  <c r="G115" i="17" s="1"/>
  <c r="F116" i="17" l="1"/>
  <c r="G116" i="17" s="1"/>
  <c r="F117" i="17" l="1"/>
  <c r="G117" i="17" s="1"/>
  <c r="F118" i="17" l="1"/>
  <c r="G118" i="17" s="1"/>
  <c r="F119" i="17" l="1"/>
  <c r="G119" i="17" s="1"/>
  <c r="F120" i="17" l="1"/>
  <c r="G120" i="17" s="1"/>
  <c r="F121" i="17" l="1"/>
  <c r="G121" i="17" s="1"/>
  <c r="F122" i="17" l="1"/>
  <c r="G122" i="17" s="1"/>
  <c r="F123" i="17" l="1"/>
  <c r="G123" i="17" s="1"/>
  <c r="F124" i="17" l="1"/>
  <c r="G124" i="17" s="1"/>
  <c r="F125" i="17" l="1"/>
  <c r="G125" i="17" s="1"/>
  <c r="F126" i="17" l="1"/>
  <c r="G126" i="17" s="1"/>
  <c r="F127" i="17" l="1"/>
  <c r="G127" i="17" s="1"/>
  <c r="F128" i="17" l="1"/>
  <c r="G128" i="17" s="1"/>
  <c r="F129" i="17" l="1"/>
  <c r="G129" i="17" s="1"/>
  <c r="F130" i="17" l="1"/>
  <c r="G130" i="17" s="1"/>
  <c r="F131" i="17" l="1"/>
  <c r="G131" i="17" s="1"/>
  <c r="F132" i="17" l="1"/>
  <c r="G132" i="17" s="1"/>
  <c r="F133" i="17" l="1"/>
  <c r="G133" i="17" s="1"/>
  <c r="F134" i="17" l="1"/>
  <c r="G134" i="17" s="1"/>
  <c r="F135" i="17" l="1"/>
  <c r="G135" i="17" s="1"/>
  <c r="F136" i="17" l="1"/>
  <c r="G136" i="17" s="1"/>
  <c r="F137" i="17" l="1"/>
  <c r="G137" i="17" s="1"/>
  <c r="F138" i="17" l="1"/>
  <c r="G138" i="17" s="1"/>
  <c r="F139" i="17" l="1"/>
  <c r="G139" i="17" s="1"/>
  <c r="F140" i="17" l="1"/>
  <c r="G140" i="17" s="1"/>
  <c r="F141" i="17" l="1"/>
  <c r="G141" i="17" s="1"/>
  <c r="F142" i="17" l="1"/>
  <c r="G142" i="17" s="1"/>
  <c r="F143" i="17" l="1"/>
  <c r="G143" i="17" s="1"/>
  <c r="F144" i="17" l="1"/>
  <c r="G144" i="17" s="1"/>
  <c r="F145" i="17" l="1"/>
  <c r="G145" i="17" s="1"/>
  <c r="F146" i="17" l="1"/>
  <c r="G146" i="17" s="1"/>
  <c r="F147" i="17" l="1"/>
  <c r="G147" i="17" s="1"/>
  <c r="F148" i="17" l="1"/>
  <c r="G148" i="17" s="1"/>
  <c r="F149" i="17" l="1"/>
  <c r="G149" i="17" s="1"/>
  <c r="F150" i="17" l="1"/>
  <c r="G150" i="17" s="1"/>
  <c r="F151" i="17" l="1"/>
  <c r="G151" i="17" s="1"/>
  <c r="F152" i="17" l="1"/>
  <c r="G152" i="17" s="1"/>
  <c r="F153" i="17" l="1"/>
  <c r="G153" i="17" s="1"/>
  <c r="F154" i="17" l="1"/>
  <c r="G154" i="17" s="1"/>
  <c r="F155" i="17" l="1"/>
  <c r="G155" i="17" s="1"/>
  <c r="F156" i="17" l="1"/>
  <c r="G156" i="17" s="1"/>
  <c r="F157" i="17" l="1"/>
  <c r="G157" i="17" s="1"/>
  <c r="F158" i="17" l="1"/>
  <c r="G158" i="17" s="1"/>
  <c r="F159" i="17" l="1"/>
  <c r="G159" i="17" s="1"/>
  <c r="F160" i="17" l="1"/>
  <c r="G160" i="17" s="1"/>
  <c r="F161" i="17" l="1"/>
  <c r="G161" i="17" s="1"/>
  <c r="F162" i="17" l="1"/>
  <c r="G162" i="17" s="1"/>
  <c r="F163" i="17" l="1"/>
  <c r="G163" i="17" s="1"/>
  <c r="F164" i="17" l="1"/>
  <c r="G164" i="17" s="1"/>
  <c r="F165" i="17" l="1"/>
  <c r="G165" i="17" s="1"/>
  <c r="F166" i="17" l="1"/>
  <c r="G166" i="17" s="1"/>
  <c r="F167" i="17" l="1"/>
  <c r="G167" i="17" s="1"/>
  <c r="F168" i="17" l="1"/>
  <c r="G168" i="17" s="1"/>
  <c r="F169" i="17" l="1"/>
  <c r="G169" i="17" s="1"/>
  <c r="F170" i="17" l="1"/>
  <c r="G170" i="17" s="1"/>
  <c r="F171" i="17" l="1"/>
  <c r="G171" i="17" s="1"/>
  <c r="F172" i="17" l="1"/>
  <c r="G172" i="17" s="1"/>
  <c r="F173" i="17" l="1"/>
  <c r="G173" i="17" s="1"/>
  <c r="F174" i="17" l="1"/>
  <c r="G174" i="17" s="1"/>
</calcChain>
</file>

<file path=xl/sharedStrings.xml><?xml version="1.0" encoding="utf-8"?>
<sst xmlns="http://schemas.openxmlformats.org/spreadsheetml/2006/main" count="266" uniqueCount="158">
  <si>
    <t>Model Parameters</t>
  </si>
  <si>
    <t>Navigator</t>
  </si>
  <si>
    <t>Error Checks:</t>
  </si>
  <si>
    <t>General</t>
  </si>
  <si>
    <t>Key Inputs</t>
  </si>
  <si>
    <t>Model Name</t>
  </si>
  <si>
    <t>Client Name</t>
  </si>
  <si>
    <t>General Range Names</t>
  </si>
  <si>
    <t>Technical Assumptions</t>
  </si>
  <si>
    <t>Days in Year</t>
  </si>
  <si>
    <t>Months in Month</t>
  </si>
  <si>
    <t>Months in Quarter</t>
  </si>
  <si>
    <t>Months in Half Yr</t>
  </si>
  <si>
    <t>Months in Year</t>
  </si>
  <si>
    <t>Quarters in Year</t>
  </si>
  <si>
    <t>Rounding Accuracy</t>
  </si>
  <si>
    <t>Very Large Number</t>
  </si>
  <si>
    <t>Very Small Number</t>
  </si>
  <si>
    <t>Thousand</t>
  </si>
  <si>
    <t>Primary Developer:  Liam Bastick</t>
  </si>
  <si>
    <t>General Cover Notes:</t>
  </si>
  <si>
    <t>Any queries, please e-mail:</t>
  </si>
  <si>
    <t>liam.bastick@sumproduct.com</t>
  </si>
  <si>
    <t>Website:</t>
  </si>
  <si>
    <t>www.sumproduct.com</t>
  </si>
  <si>
    <t>Table of Contents</t>
  </si>
  <si>
    <t>Cover</t>
  </si>
  <si>
    <t>Style Guide</t>
  </si>
  <si>
    <t>Formatting of Headers / Dividers</t>
  </si>
  <si>
    <t>Description</t>
  </si>
  <si>
    <t>Display</t>
  </si>
  <si>
    <t>Style Name</t>
  </si>
  <si>
    <t>Sheet Title</t>
  </si>
  <si>
    <t>Header 1</t>
  </si>
  <si>
    <t>Header 2</t>
  </si>
  <si>
    <t>Header 3</t>
  </si>
  <si>
    <t>Header 4</t>
  </si>
  <si>
    <t>Notes</t>
  </si>
  <si>
    <t>Table Heading</t>
  </si>
  <si>
    <t>Individual Cell Styles</t>
  </si>
  <si>
    <t>Assumption</t>
  </si>
  <si>
    <t>Constraint</t>
  </si>
  <si>
    <t>Empty</t>
  </si>
  <si>
    <t>Error Check</t>
  </si>
  <si>
    <t>Hyperlink</t>
  </si>
  <si>
    <t>Internal Reference</t>
  </si>
  <si>
    <t>Line Calculation</t>
  </si>
  <si>
    <t>Line Calc</t>
  </si>
  <si>
    <t>Line Total</t>
  </si>
  <si>
    <t>Parameter</t>
  </si>
  <si>
    <t>Range Name Description</t>
  </si>
  <si>
    <t>Not_Named</t>
  </si>
  <si>
    <t>Row Reference</t>
  </si>
  <si>
    <t>Row Ref</t>
  </si>
  <si>
    <t>Row Summary</t>
  </si>
  <si>
    <t>Units</t>
  </si>
  <si>
    <t>WIP</t>
  </si>
  <si>
    <t>Numerical Styles</t>
  </si>
  <si>
    <t>Comma</t>
  </si>
  <si>
    <t>Comma [0]</t>
  </si>
  <si>
    <t>Currency</t>
  </si>
  <si>
    <t>Currency [0]</t>
  </si>
  <si>
    <t>Date</t>
  </si>
  <si>
    <t>Date Heading</t>
  </si>
  <si>
    <t>Numbers 0</t>
  </si>
  <si>
    <t>Percent</t>
  </si>
  <si>
    <t>Error Checks</t>
  </si>
  <si>
    <t>Summary of Errors</t>
  </si>
  <si>
    <t>Assumptions</t>
  </si>
  <si>
    <t>Example</t>
  </si>
  <si>
    <t>A$</t>
  </si>
  <si>
    <t>Timing</t>
  </si>
  <si>
    <t>Change Log</t>
  </si>
  <si>
    <t xml:space="preserve">Model Version </t>
  </si>
  <si>
    <t>Details of change</t>
  </si>
  <si>
    <t>Worksheet Reference</t>
  </si>
  <si>
    <t>Row, column, cell reference</t>
  </si>
  <si>
    <t>Summary</t>
  </si>
  <si>
    <t>I changed it</t>
  </si>
  <si>
    <t>Author</t>
  </si>
  <si>
    <t>F11</t>
  </si>
  <si>
    <t>LB</t>
  </si>
  <si>
    <t>Untitled attachment 00059.xlsm</t>
  </si>
  <si>
    <t>So did I.</t>
  </si>
  <si>
    <t>And me.</t>
  </si>
  <si>
    <t>A4</t>
  </si>
  <si>
    <t>B9</t>
  </si>
  <si>
    <t>Dave</t>
  </si>
  <si>
    <t>SumProduct Pty Limited</t>
  </si>
  <si>
    <t>IRR Illustration</t>
  </si>
  <si>
    <t>Period 1</t>
  </si>
  <si>
    <t>Period 2</t>
  </si>
  <si>
    <t>Period 3</t>
  </si>
  <si>
    <t>Period 4</t>
  </si>
  <si>
    <t>Period 5</t>
  </si>
  <si>
    <t>Period 6</t>
  </si>
  <si>
    <t>Period 7</t>
  </si>
  <si>
    <t>Period 8</t>
  </si>
  <si>
    <t>IRR</t>
  </si>
  <si>
    <t>XIRR Illustration</t>
  </si>
  <si>
    <t>XIRR</t>
  </si>
  <si>
    <t>IRR vs. XIRR</t>
  </si>
  <si>
    <t>When Excel Functions Fall Apart</t>
  </si>
  <si>
    <t>XIRR Example</t>
  </si>
  <si>
    <t>Dates</t>
  </si>
  <si>
    <t>Rearranging the order (1)</t>
  </si>
  <si>
    <t>Rearranging the order (2)</t>
  </si>
  <si>
    <t>Order makes a difference</t>
  </si>
  <si>
    <t>Very small neg no</t>
  </si>
  <si>
    <t>Using the small negative number seems to work</t>
  </si>
  <si>
    <t>Cashflows starting with a positive inflow</t>
  </si>
  <si>
    <t>Amt</t>
  </si>
  <si>
    <t xml:space="preserve">  $1,000 </t>
  </si>
  <si>
    <t>Dates Corrected</t>
  </si>
  <si>
    <t>Number of characters in year</t>
  </si>
  <si>
    <t>Always check DATEVALUE won't work first</t>
  </si>
  <si>
    <t>DATEVALUE test</t>
  </si>
  <si>
    <t>Revised Dates</t>
  </si>
  <si>
    <t>Care with Dates</t>
  </si>
  <si>
    <t>6/30/2019</t>
  </si>
  <si>
    <t>9/30/2019</t>
  </si>
  <si>
    <t>12/31/2019</t>
  </si>
  <si>
    <t>Using IRR value (dynamic reference) as the guess</t>
  </si>
  <si>
    <t>Using IRR value (hard coded) as the guess</t>
  </si>
  <si>
    <t>Using an approximation to the IRR value as the guess</t>
  </si>
  <si>
    <t>Having a value doesn't make it right</t>
  </si>
  <si>
    <t>Leap Year Divisor</t>
  </si>
  <si>
    <t>Duration</t>
  </si>
  <si>
    <t>Accuracy Factor</t>
  </si>
  <si>
    <t>XNPV is not a reliable check</t>
  </si>
  <si>
    <t>BUT</t>
  </si>
  <si>
    <t>Long Hand Calculation</t>
  </si>
  <si>
    <t>Quarterly Rate</t>
  </si>
  <si>
    <t>Time</t>
  </si>
  <si>
    <t>Cashflows</t>
  </si>
  <si>
    <t>Discount Factor</t>
  </si>
  <si>
    <t>NPV</t>
  </si>
  <si>
    <t>Goal Seek</t>
  </si>
  <si>
    <t>Falling Back on GOAL SEEK</t>
  </si>
  <si>
    <t>Scenario</t>
  </si>
  <si>
    <t>Method</t>
  </si>
  <si>
    <t>Rate Used</t>
  </si>
  <si>
    <t>Days Since Start</t>
  </si>
  <si>
    <t>Present Value</t>
  </si>
  <si>
    <t>Net Present Value</t>
  </si>
  <si>
    <t>XIRR Examples</t>
  </si>
  <si>
    <t>3/03/2019</t>
  </si>
  <si>
    <t>Chart Data</t>
  </si>
  <si>
    <t>Rate</t>
  </si>
  <si>
    <t>Previously</t>
  </si>
  <si>
    <t>XIRR Examples with a negative first number</t>
  </si>
  <si>
    <t>Care with Date</t>
  </si>
  <si>
    <t>Value Not Right</t>
  </si>
  <si>
    <t>Positive Number</t>
  </si>
  <si>
    <t>Considering Orders</t>
  </si>
  <si>
    <t>Unreliable_XNPV</t>
  </si>
  <si>
    <t>XIRR Examples_Negative Start</t>
  </si>
  <si>
    <t>Workbook to demonstrate the use of IRR and NPV functions.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</si>
</sst>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3">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quot;ý&quot;;&quot;ý&quot;;&quot;þ&quot;"/>
    <numFmt numFmtId="165" formatCode="#,##0&quot;.&quot;"/>
    <numFmt numFmtId="166" formatCode="0.E+00"/>
    <numFmt numFmtId="167" formatCode="[$-C09]dd\-mmm\-yy;@"/>
    <numFmt numFmtId="168" formatCode=";;;"/>
    <numFmt numFmtId="169" formatCode="_(#,##0_);[Red]\(#,##0\);_(\-_);"/>
    <numFmt numFmtId="170" formatCode="_(&quot;$&quot;#,##0.0_);\(&quot;$&quot;#,##0.0\);_(&quot;-&quot;_)"/>
    <numFmt numFmtId="171" formatCode="_(#,##0.0_);\(#,##0.0\);_(&quot;-&quot;_)"/>
    <numFmt numFmtId="172" formatCode="&quot;Row &quot;###0"/>
    <numFmt numFmtId="173" formatCode="#,##0."/>
    <numFmt numFmtId="174" formatCode="_(#,##0_);\(#,##0\);_(\-_)"/>
    <numFmt numFmtId="175" formatCode="_(#,##0.00_);\(#,##0.00\);_(\-_._0_0_)"/>
    <numFmt numFmtId="176" formatCode="&quot;$&quot;* _(#,##0.00_);&quot;$&quot;* \(#,##0.00\);&quot;$&quot;* _(\-_._0_0_)"/>
    <numFmt numFmtId="177" formatCode="&quot;$&quot;* _(#,##0_);&quot;$&quot;* \(#,##0\);&quot;$&quot;* _(\-_)"/>
    <numFmt numFmtId="178" formatCode="[$-C09]dd\ mmm\ yy;@"/>
    <numFmt numFmtId="179" formatCode="mmm\ yy"/>
    <numFmt numFmtId="180" formatCode="[$-C09]d\ mmm\ yy;@"/>
    <numFmt numFmtId="181" formatCode="_(&quot;$&quot;#,##0.00_);\(&quot;$&quot;#,##0.00\);_(&quot;-&quot;_)"/>
    <numFmt numFmtId="182" formatCode="_(&quot;$&quot;#,##0_);\(&quot;$&quot;#,##0\);_(&quot;-&quot;_)"/>
    <numFmt numFmtId="183" formatCode="&quot;Cashflow - Scenario &quot;###0"/>
    <numFmt numFmtId="184" formatCode="0.000000%"/>
    <numFmt numFmtId="185" formatCode="_-* #,##0.000_-;\-* #,##0.000_-;_-* &quot;-&quot;??_-;_-@_-"/>
    <numFmt numFmtId="186" formatCode="_-* #,##0.000000_-;\-* #,##0.000000_-;_-* &quot;-&quot;??_-;_-@_-"/>
    <numFmt numFmtId="187" formatCode="d/mm/yyyy\ h:mm\ AM/PM"/>
    <numFmt numFmtId="188" formatCode="_(#,##0_);\(#,##0\);_(\-_);"/>
    <numFmt numFmtId="189" formatCode="_(#,##0.000_);\(#,##0.000\);_(\-_)"/>
    <numFmt numFmtId="190" formatCode="_(#,##0.000000_);\(#,##0.000000\);_(\-_)"/>
    <numFmt numFmtId="191" formatCode="_(&quot;$&quot;#,##0.00000_);\(&quot;$&quot;#,##0.00000\);_(&quot;-&quot;_)"/>
    <numFmt numFmtId="192" formatCode="_(#,##0.0%_);\(#,##0.0%\);_(&quot;-&quot;_)"/>
  </numFmts>
  <fonts count="36" x14ac:knownFonts="1">
    <font>
      <sz val="9"/>
      <color theme="1"/>
      <name val="Arial"/>
      <family val="2"/>
    </font>
    <font>
      <sz val="11"/>
      <color theme="1"/>
      <name val="Calibri"/>
      <family val="2"/>
      <scheme val="minor"/>
    </font>
    <font>
      <sz val="11"/>
      <color theme="0"/>
      <name val="Wingdings"/>
      <charset val="2"/>
    </font>
    <font>
      <i/>
      <sz val="11"/>
      <color theme="0" tint="-0.34998626667073579"/>
      <name val="Calibri"/>
      <family val="2"/>
      <scheme val="minor"/>
    </font>
    <font>
      <b/>
      <u/>
      <sz val="8"/>
      <color indexed="56"/>
      <name val="Arial"/>
      <family val="2"/>
    </font>
    <font>
      <sz val="11"/>
      <name val="Calibri"/>
      <family val="2"/>
      <scheme val="minor"/>
    </font>
    <font>
      <sz val="11"/>
      <color theme="1"/>
      <name val="Calibri"/>
      <family val="2"/>
      <charset val="163"/>
      <scheme val="minor"/>
    </font>
    <font>
      <i/>
      <sz val="11"/>
      <color theme="0" tint="-0.499984740745262"/>
      <name val="Calibri"/>
      <family val="2"/>
      <scheme val="minor"/>
    </font>
    <font>
      <sz val="8"/>
      <name val="Arial"/>
      <family val="2"/>
    </font>
    <font>
      <sz val="10"/>
      <color theme="1"/>
      <name val="Calibri"/>
      <family val="2"/>
      <scheme val="minor"/>
    </font>
    <font>
      <b/>
      <sz val="10"/>
      <color theme="8" tint="-0.499984740745262"/>
      <name val="Calibri"/>
      <family val="2"/>
      <scheme val="minor"/>
    </font>
    <font>
      <sz val="10"/>
      <color theme="8" tint="-0.499984740745262"/>
      <name val="Calibri"/>
      <family val="2"/>
      <scheme val="minor"/>
    </font>
    <font>
      <i/>
      <sz val="11"/>
      <color theme="1"/>
      <name val="Calibri"/>
      <family val="2"/>
      <scheme val="minor"/>
    </font>
    <font>
      <b/>
      <sz val="9"/>
      <color theme="0"/>
      <name val="Arial"/>
      <family val="2"/>
    </font>
    <font>
      <b/>
      <sz val="16"/>
      <color theme="8" tint="-0.499984740745262"/>
      <name val="Arial"/>
      <family val="2"/>
    </font>
    <font>
      <sz val="14"/>
      <color theme="8" tint="-0.499984740745262"/>
      <name val="Arial"/>
      <family val="2"/>
    </font>
    <font>
      <b/>
      <sz val="12"/>
      <color theme="0"/>
      <name val="Arial"/>
      <family val="2"/>
    </font>
    <font>
      <b/>
      <sz val="13"/>
      <color theme="8" tint="-0.499984740745262"/>
      <name val="Arial"/>
      <family val="2"/>
    </font>
    <font>
      <b/>
      <sz val="11"/>
      <color theme="1"/>
      <name val="Arial"/>
      <family val="2"/>
    </font>
    <font>
      <b/>
      <sz val="11"/>
      <color theme="3"/>
      <name val="Arial"/>
      <family val="2"/>
    </font>
    <font>
      <b/>
      <sz val="15"/>
      <color theme="3"/>
      <name val="Arial"/>
      <family val="2"/>
    </font>
    <font>
      <b/>
      <sz val="13"/>
      <color theme="3"/>
      <name val="Arial"/>
      <family val="2"/>
    </font>
    <font>
      <sz val="18"/>
      <color theme="3"/>
      <name val="Arial"/>
      <family val="2"/>
    </font>
    <font>
      <sz val="9"/>
      <color theme="1"/>
      <name val="Arial"/>
      <family val="2"/>
    </font>
    <font>
      <b/>
      <sz val="9"/>
      <color theme="1"/>
      <name val="Arial"/>
      <family val="2"/>
    </font>
    <font>
      <sz val="9"/>
      <color theme="8" tint="-0.499984740745262"/>
      <name val="Arial"/>
      <family val="2"/>
    </font>
    <font>
      <sz val="9"/>
      <color theme="0" tint="-0.499984740745262"/>
      <name val="Arial"/>
      <family val="2"/>
    </font>
    <font>
      <b/>
      <u/>
      <sz val="9"/>
      <color theme="1"/>
      <name val="Arial"/>
      <family val="2"/>
    </font>
    <font>
      <sz val="9"/>
      <name val="Arial"/>
      <family val="2"/>
    </font>
    <font>
      <i/>
      <sz val="9"/>
      <color theme="8" tint="-0.499984740745262"/>
      <name val="Arial"/>
      <family val="2"/>
    </font>
    <font>
      <sz val="9"/>
      <color theme="8" tint="0.39988402966399123"/>
      <name val="Arial"/>
      <family val="2"/>
    </font>
    <font>
      <sz val="9"/>
      <color rgb="FFFF0000"/>
      <name val="Arial"/>
      <family val="2"/>
    </font>
    <font>
      <i/>
      <sz val="8"/>
      <color rgb="FFFF0000"/>
      <name val="Arial"/>
      <family val="2"/>
    </font>
    <font>
      <sz val="10"/>
      <name val="Arial"/>
      <family val="2"/>
    </font>
    <font>
      <i/>
      <sz val="9"/>
      <color theme="1"/>
      <name val="Arial"/>
      <family val="2"/>
    </font>
    <font>
      <b/>
      <sz val="9"/>
      <color rgb="FFFF0000"/>
      <name val="Arial"/>
      <family val="2"/>
    </font>
  </fonts>
  <fills count="12">
    <fill>
      <patternFill patternType="none"/>
    </fill>
    <fill>
      <patternFill patternType="gray125"/>
    </fill>
    <fill>
      <patternFill patternType="solid">
        <fgColor theme="6" tint="-0.499984740745262"/>
        <bgColor indexed="64"/>
      </patternFill>
    </fill>
    <fill>
      <patternFill patternType="solid">
        <fgColor theme="1"/>
        <bgColor indexed="64"/>
      </patternFill>
    </fill>
    <fill>
      <patternFill patternType="solid">
        <fgColor rgb="FFFFFF99"/>
        <bgColor indexed="64"/>
      </patternFill>
    </fill>
    <fill>
      <patternFill patternType="gray125">
        <fgColor theme="8" tint="-0.499984740745262"/>
        <bgColor theme="8" tint="0.59996337778862885"/>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6" tint="0.39997558519241921"/>
        <bgColor indexed="64"/>
      </patternFill>
    </fill>
    <fill>
      <patternFill patternType="solid">
        <fgColor theme="1" tint="0.499984740745262"/>
        <bgColor indexed="64"/>
      </patternFill>
    </fill>
  </fills>
  <borders count="16">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theme="1"/>
      </left>
      <right style="thin">
        <color theme="1"/>
      </right>
      <top style="thin">
        <color theme="1"/>
      </top>
      <bottom style="thin">
        <color theme="1"/>
      </bottom>
      <diagonal/>
    </border>
    <border>
      <left/>
      <right/>
      <top style="dotted">
        <color indexed="64"/>
      </top>
      <bottom/>
      <diagonal/>
    </border>
    <border>
      <left/>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FF0000"/>
      </left>
      <right style="thin">
        <color rgb="FFFF0000"/>
      </right>
      <top style="thin">
        <color rgb="FFFF0000"/>
      </top>
      <bottom style="thin">
        <color rgb="FFFF0000"/>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n">
        <color indexed="64"/>
      </top>
      <bottom style="medium">
        <color indexed="64"/>
      </bottom>
      <diagonal/>
    </border>
    <border>
      <left/>
      <right/>
      <top style="thin">
        <color indexed="64"/>
      </top>
      <bottom style="thick">
        <color indexed="64"/>
      </bottom>
      <diagonal/>
    </border>
    <border>
      <left/>
      <right/>
      <top/>
      <bottom style="thin">
        <color indexed="64"/>
      </bottom>
      <diagonal/>
    </border>
  </borders>
  <cellStyleXfs count="43">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xf numFmtId="0" fontId="14" fillId="0" borderId="0" applyNumberFormat="0" applyFill="0" applyBorder="0" applyProtection="0"/>
    <xf numFmtId="0" fontId="27" fillId="0" borderId="0" applyNumberFormat="0" applyFill="0" applyBorder="0">
      <alignment horizontal="left"/>
      <protection locked="0"/>
    </xf>
    <xf numFmtId="0" fontId="15" fillId="0" borderId="0" applyNumberFormat="0" applyFill="0" applyBorder="0" applyProtection="0"/>
    <xf numFmtId="0" fontId="16" fillId="3" borderId="1" applyNumberFormat="0" applyProtection="0"/>
    <xf numFmtId="0" fontId="17" fillId="0" borderId="0" applyNumberFormat="0" applyFill="0" applyAlignment="0" applyProtection="0"/>
    <xf numFmtId="0" fontId="18" fillId="0" borderId="0" applyNumberFormat="0" applyFill="0" applyAlignment="0" applyProtection="0"/>
    <xf numFmtId="0" fontId="26" fillId="0" borderId="3" applyNumberFormat="0" applyAlignment="0">
      <alignment horizontal="center"/>
    </xf>
    <xf numFmtId="0" fontId="25" fillId="4" borderId="4" applyNumberFormat="0" applyAlignment="0">
      <protection locked="0"/>
    </xf>
    <xf numFmtId="0" fontId="3" fillId="0" borderId="0" applyNumberFormat="0" applyFill="0" applyBorder="0"/>
    <xf numFmtId="180" fontId="23" fillId="0" borderId="0" applyFill="0" applyBorder="0" applyProtection="0">
      <alignment horizontal="center"/>
    </xf>
    <xf numFmtId="179" fontId="24" fillId="0" borderId="0" applyFill="0" applyBorder="0" applyProtection="0">
      <alignment horizontal="center"/>
    </xf>
    <xf numFmtId="168" fontId="1" fillId="5" borderId="4" applyAlignment="0"/>
    <xf numFmtId="164" fontId="2" fillId="2" borderId="2">
      <alignment horizontal="center"/>
      <protection locked="0"/>
    </xf>
    <xf numFmtId="0" fontId="4" fillId="0" borderId="0" applyFill="0" applyBorder="0">
      <alignment horizontal="left" vertical="center"/>
      <protection locked="0"/>
    </xf>
    <xf numFmtId="41" fontId="28" fillId="6" borderId="5" applyNumberFormat="0" applyAlignment="0"/>
    <xf numFmtId="41" fontId="1" fillId="0" borderId="6" applyNumberFormat="0" applyFont="0" applyFill="0" applyAlignment="0"/>
    <xf numFmtId="169" fontId="1" fillId="0" borderId="7" applyNumberFormat="0" applyFont="0" applyFill="0" applyAlignment="0" applyProtection="0"/>
    <xf numFmtId="0" fontId="6" fillId="0" borderId="0"/>
    <xf numFmtId="0" fontId="32" fillId="0" borderId="8" applyNumberFormat="0" applyFill="0" applyBorder="0"/>
    <xf numFmtId="169" fontId="1" fillId="0" borderId="0" applyFont="0" applyFill="0" applyBorder="0" applyAlignment="0" applyProtection="0"/>
    <xf numFmtId="0" fontId="26" fillId="7" borderId="2" applyNumberFormat="0" applyAlignment="0" applyProtection="0"/>
    <xf numFmtId="0" fontId="7" fillId="0" borderId="0" applyNumberFormat="0" applyFill="0" applyBorder="0" applyAlignment="0" applyProtection="0"/>
    <xf numFmtId="170" fontId="8" fillId="0" borderId="0" applyFill="0" applyBorder="0">
      <alignment horizontal="right" vertical="center"/>
    </xf>
    <xf numFmtId="171" fontId="8" fillId="0" borderId="0" applyFill="0" applyBorder="0">
      <alignment horizontal="right" vertical="center"/>
    </xf>
    <xf numFmtId="172" fontId="29" fillId="7" borderId="4">
      <alignment horizontal="center"/>
    </xf>
    <xf numFmtId="41" fontId="5" fillId="8" borderId="5" applyFont="0" applyAlignment="0"/>
    <xf numFmtId="0" fontId="13" fillId="11" borderId="0" applyNumberFormat="0">
      <alignment horizontal="center"/>
    </xf>
    <xf numFmtId="0" fontId="30" fillId="0" borderId="0" applyNumberFormat="0" applyFill="0" applyBorder="0" applyProtection="0"/>
    <xf numFmtId="0" fontId="31" fillId="9" borderId="9" applyNumberFormat="0" applyAlignment="0">
      <protection locked="0"/>
    </xf>
    <xf numFmtId="0" fontId="22" fillId="0" borderId="0" applyNumberFormat="0" applyFill="0" applyBorder="0" applyAlignment="0" applyProtection="0"/>
    <xf numFmtId="0" fontId="20" fillId="0" borderId="1" applyNumberFormat="0" applyFill="0" applyAlignment="0" applyProtection="0"/>
    <xf numFmtId="0" fontId="21" fillId="0" borderId="10" applyNumberFormat="0" applyFill="0" applyAlignment="0" applyProtection="0"/>
    <xf numFmtId="0" fontId="19" fillId="0" borderId="11" applyNumberFormat="0" applyFill="0" applyAlignment="0" applyProtection="0"/>
    <xf numFmtId="0" fontId="18" fillId="0" borderId="12" applyNumberFormat="0" applyFill="0" applyAlignment="0" applyProtection="0"/>
    <xf numFmtId="173" fontId="16" fillId="3" borderId="1"/>
    <xf numFmtId="192" fontId="8" fillId="0" borderId="0" applyFill="0" applyBorder="0">
      <alignment horizontal="right" vertical="center"/>
    </xf>
  </cellStyleXfs>
  <cellXfs count="96">
    <xf numFmtId="0" fontId="0" fillId="0" borderId="0" xfId="0"/>
    <xf numFmtId="164" fontId="2" fillId="2" borderId="2" xfId="0" applyNumberFormat="1" applyFont="1" applyFill="1" applyBorder="1" applyAlignment="1" applyProtection="1">
      <alignment horizontal="center"/>
      <protection locked="0"/>
    </xf>
    <xf numFmtId="0" fontId="16" fillId="3" borderId="1" xfId="10"/>
    <xf numFmtId="0" fontId="17" fillId="0" borderId="0" xfId="11"/>
    <xf numFmtId="0" fontId="18" fillId="0" borderId="0" xfId="12"/>
    <xf numFmtId="0" fontId="26" fillId="0" borderId="3" xfId="13">
      <alignment horizontal="center"/>
    </xf>
    <xf numFmtId="166" fontId="26" fillId="0" borderId="3" xfId="13" applyNumberFormat="1">
      <alignment horizontal="center"/>
    </xf>
    <xf numFmtId="0" fontId="9" fillId="0" borderId="0" xfId="0" applyFont="1"/>
    <xf numFmtId="0" fontId="10" fillId="0" borderId="0" xfId="12" applyFont="1" applyAlignment="1">
      <alignment horizontal="left" vertical="center"/>
    </xf>
    <xf numFmtId="0" fontId="11" fillId="0" borderId="0" xfId="0" applyFont="1"/>
    <xf numFmtId="0" fontId="11" fillId="0" borderId="0" xfId="6" applyFont="1" applyAlignment="1">
      <alignment horizontal="left" vertical="center"/>
    </xf>
    <xf numFmtId="0" fontId="27" fillId="0" borderId="0" xfId="8">
      <alignment horizontal="left"/>
      <protection locked="0"/>
    </xf>
    <xf numFmtId="0" fontId="27" fillId="0" borderId="0" xfId="8" applyAlignment="1">
      <alignment horizontal="right"/>
      <protection locked="0"/>
    </xf>
    <xf numFmtId="0" fontId="13" fillId="11" borderId="0" xfId="33">
      <alignment horizontal="center"/>
    </xf>
    <xf numFmtId="0" fontId="14" fillId="0" borderId="0" xfId="7"/>
    <xf numFmtId="0" fontId="12" fillId="0" borderId="0" xfId="0" applyFont="1" applyAlignment="1">
      <alignment horizontal="left"/>
    </xf>
    <xf numFmtId="0" fontId="15" fillId="0" borderId="0" xfId="9"/>
    <xf numFmtId="0" fontId="0" fillId="0" borderId="0" xfId="0" applyAlignment="1">
      <alignment horizontal="left"/>
    </xf>
    <xf numFmtId="0" fontId="19" fillId="0" borderId="0" xfId="6"/>
    <xf numFmtId="0" fontId="32" fillId="0" borderId="0" xfId="25" applyBorder="1"/>
    <xf numFmtId="0" fontId="25" fillId="4" borderId="4" xfId="14">
      <protection locked="0"/>
    </xf>
    <xf numFmtId="0" fontId="12" fillId="0" borderId="0" xfId="0" applyFont="1"/>
    <xf numFmtId="0" fontId="26" fillId="0" borderId="3" xfId="13" applyAlignment="1"/>
    <xf numFmtId="168" fontId="1" fillId="5" borderId="4" xfId="18"/>
    <xf numFmtId="164" fontId="2" fillId="2" borderId="2" xfId="19">
      <alignment horizontal="center"/>
      <protection locked="0"/>
    </xf>
    <xf numFmtId="0" fontId="28" fillId="6" borderId="5" xfId="21" applyNumberFormat="1"/>
    <xf numFmtId="0" fontId="0" fillId="0" borderId="6" xfId="22" applyNumberFormat="1" applyFont="1"/>
    <xf numFmtId="0" fontId="0" fillId="0" borderId="7" xfId="23" applyNumberFormat="1" applyFont="1"/>
    <xf numFmtId="0" fontId="26" fillId="7" borderId="2" xfId="27"/>
    <xf numFmtId="0" fontId="7" fillId="0" borderId="0" xfId="28"/>
    <xf numFmtId="172" fontId="29" fillId="7" borderId="4" xfId="31">
      <alignment horizontal="center"/>
    </xf>
    <xf numFmtId="41" fontId="0" fillId="8" borderId="5" xfId="32" applyFont="1"/>
    <xf numFmtId="0" fontId="30" fillId="0" borderId="0" xfId="34"/>
    <xf numFmtId="0" fontId="31" fillId="9" borderId="9" xfId="35">
      <protection locked="0"/>
    </xf>
    <xf numFmtId="169" fontId="0" fillId="0" borderId="0" xfId="26" applyFont="1"/>
    <xf numFmtId="9" fontId="0" fillId="0" borderId="0" xfId="5" applyFont="1"/>
    <xf numFmtId="164" fontId="2" fillId="10" borderId="2" xfId="0" applyNumberFormat="1" applyFont="1" applyFill="1" applyBorder="1" applyAlignment="1" applyProtection="1">
      <alignment horizontal="center"/>
      <protection locked="0"/>
    </xf>
    <xf numFmtId="180" fontId="23" fillId="0" borderId="0" xfId="16">
      <alignment horizontal="center"/>
    </xf>
    <xf numFmtId="179" fontId="24" fillId="0" borderId="0" xfId="17">
      <alignment horizontal="center"/>
    </xf>
    <xf numFmtId="0" fontId="3" fillId="0" borderId="0" xfId="15"/>
    <xf numFmtId="165" fontId="16" fillId="3" borderId="1" xfId="10" applyNumberFormat="1"/>
    <xf numFmtId="173" fontId="16" fillId="3" borderId="1" xfId="41"/>
    <xf numFmtId="174" fontId="0" fillId="0" borderId="0" xfId="2" applyNumberFormat="1" applyFont="1"/>
    <xf numFmtId="175" fontId="0" fillId="0" borderId="0" xfId="1" applyNumberFormat="1" applyFont="1"/>
    <xf numFmtId="176" fontId="0" fillId="0" borderId="0" xfId="3" applyNumberFormat="1" applyFont="1"/>
    <xf numFmtId="177" fontId="0" fillId="0" borderId="0" xfId="4" applyNumberFormat="1" applyFont="1"/>
    <xf numFmtId="178" fontId="23" fillId="0" borderId="0" xfId="16" applyNumberFormat="1">
      <alignment horizontal="center"/>
    </xf>
    <xf numFmtId="167" fontId="0" fillId="0" borderId="0" xfId="0" applyNumberFormat="1"/>
    <xf numFmtId="0" fontId="0" fillId="0" borderId="0" xfId="0"/>
    <xf numFmtId="0" fontId="27" fillId="0" borderId="0" xfId="8">
      <alignment horizontal="left"/>
      <protection locked="0"/>
    </xf>
    <xf numFmtId="0" fontId="0" fillId="0" borderId="0" xfId="0"/>
    <xf numFmtId="0" fontId="13" fillId="11" borderId="0" xfId="33">
      <alignment horizontal="center"/>
    </xf>
    <xf numFmtId="0" fontId="27" fillId="0" borderId="0" xfId="8">
      <alignment horizontal="left"/>
      <protection locked="0"/>
    </xf>
    <xf numFmtId="0" fontId="0" fillId="0" borderId="0" xfId="0"/>
    <xf numFmtId="170" fontId="8" fillId="0" borderId="0" xfId="29">
      <alignment horizontal="right" vertical="center"/>
    </xf>
    <xf numFmtId="10" fontId="0" fillId="0" borderId="0" xfId="5" applyNumberFormat="1" applyFont="1"/>
    <xf numFmtId="14" fontId="24" fillId="0" borderId="0" xfId="16" applyNumberFormat="1" applyFont="1" applyAlignment="1">
      <alignment horizontal="center"/>
    </xf>
    <xf numFmtId="181" fontId="25" fillId="4" borderId="4" xfId="14" applyNumberFormat="1" applyAlignment="1">
      <alignment horizontal="right" vertical="center"/>
      <protection locked="0"/>
    </xf>
    <xf numFmtId="181" fontId="28" fillId="0" borderId="0" xfId="29" applyNumberFormat="1" applyFont="1">
      <alignment horizontal="right" vertical="center"/>
    </xf>
    <xf numFmtId="180" fontId="24" fillId="0" borderId="0" xfId="16" applyFont="1">
      <alignment horizontal="center"/>
    </xf>
    <xf numFmtId="182" fontId="25" fillId="4" borderId="4" xfId="14" applyNumberFormat="1" applyAlignment="1">
      <alignment horizontal="right" vertical="center"/>
      <protection locked="0"/>
    </xf>
    <xf numFmtId="182" fontId="28" fillId="0" borderId="0" xfId="29" applyNumberFormat="1" applyFont="1">
      <alignment horizontal="right" vertical="center"/>
    </xf>
    <xf numFmtId="183" fontId="0" fillId="0" borderId="0" xfId="0" applyNumberFormat="1"/>
    <xf numFmtId="0" fontId="24" fillId="0" borderId="0" xfId="0" applyFont="1"/>
    <xf numFmtId="0" fontId="24" fillId="0" borderId="0" xfId="0" applyFont="1" applyAlignment="1">
      <alignment horizontal="center"/>
    </xf>
    <xf numFmtId="14" fontId="0" fillId="0" borderId="0" xfId="0" applyNumberFormat="1" applyAlignment="1">
      <alignment horizontal="left"/>
    </xf>
    <xf numFmtId="182" fontId="33" fillId="0" borderId="0" xfId="29" applyNumberFormat="1" applyFont="1">
      <alignment horizontal="right" vertical="center"/>
    </xf>
    <xf numFmtId="0" fontId="25" fillId="4" borderId="4" xfId="14" applyAlignment="1">
      <alignment horizontal="center"/>
      <protection locked="0"/>
    </xf>
    <xf numFmtId="184" fontId="0" fillId="0" borderId="0" xfId="5" applyNumberFormat="1" applyFont="1"/>
    <xf numFmtId="186" fontId="0" fillId="0" borderId="0" xfId="1" applyNumberFormat="1" applyFont="1"/>
    <xf numFmtId="187" fontId="0" fillId="0" borderId="0" xfId="0" applyNumberFormat="1" applyFill="1" applyAlignment="1">
      <alignment horizontal="left"/>
    </xf>
    <xf numFmtId="188" fontId="0" fillId="0" borderId="0" xfId="26" applyNumberFormat="1" applyFont="1"/>
    <xf numFmtId="188" fontId="0" fillId="0" borderId="7" xfId="23" applyNumberFormat="1" applyFont="1"/>
    <xf numFmtId="190" fontId="0" fillId="0" borderId="14" xfId="23" applyNumberFormat="1" applyFont="1" applyBorder="1"/>
    <xf numFmtId="189" fontId="0" fillId="0" borderId="0" xfId="26" applyNumberFormat="1" applyFont="1"/>
    <xf numFmtId="169" fontId="34" fillId="0" borderId="0" xfId="26" applyFont="1" applyAlignment="1">
      <alignment horizontal="center"/>
    </xf>
    <xf numFmtId="183" fontId="0" fillId="0" borderId="0" xfId="0" applyNumberFormat="1" applyAlignment="1">
      <alignment horizontal="left"/>
    </xf>
    <xf numFmtId="0" fontId="0" fillId="0" borderId="15" xfId="0" applyBorder="1"/>
    <xf numFmtId="185" fontId="0" fillId="0" borderId="15" xfId="1" applyNumberFormat="1" applyFont="1" applyBorder="1"/>
    <xf numFmtId="191" fontId="28" fillId="0" borderId="13" xfId="29" applyNumberFormat="1" applyFont="1" applyFill="1" applyBorder="1">
      <alignment horizontal="right" vertical="center"/>
    </xf>
    <xf numFmtId="183" fontId="25" fillId="4" borderId="4" xfId="14" applyNumberFormat="1">
      <protection locked="0"/>
    </xf>
    <xf numFmtId="10" fontId="0" fillId="9" borderId="0" xfId="5" applyNumberFormat="1" applyFont="1" applyFill="1" applyAlignment="1">
      <alignment horizontal="center"/>
    </xf>
    <xf numFmtId="14" fontId="0" fillId="0" borderId="0" xfId="0" applyNumberFormat="1"/>
    <xf numFmtId="14" fontId="0" fillId="0" borderId="0" xfId="0" quotePrefix="1" applyNumberFormat="1" applyAlignment="1">
      <alignment horizontal="left"/>
    </xf>
    <xf numFmtId="0" fontId="0" fillId="0" borderId="0" xfId="0" quotePrefix="1"/>
    <xf numFmtId="182" fontId="0" fillId="0" borderId="0" xfId="0" applyNumberFormat="1"/>
    <xf numFmtId="0" fontId="31" fillId="0" borderId="0" xfId="0" applyFont="1" applyAlignment="1">
      <alignment horizontal="centerContinuous"/>
    </xf>
    <xf numFmtId="0" fontId="35" fillId="0" borderId="0" xfId="0" applyFont="1"/>
    <xf numFmtId="10" fontId="31" fillId="0" borderId="0" xfId="5" applyNumberFormat="1" applyFont="1"/>
    <xf numFmtId="0" fontId="27" fillId="0" borderId="0" xfId="8">
      <alignment horizontal="left"/>
      <protection locked="0"/>
    </xf>
    <xf numFmtId="0" fontId="11" fillId="0" borderId="0" xfId="6" applyFont="1" applyAlignment="1">
      <alignment horizontal="left" vertical="center"/>
    </xf>
    <xf numFmtId="0" fontId="27" fillId="0" borderId="0" xfId="8">
      <alignment horizontal="left"/>
      <protection locked="0"/>
    </xf>
    <xf numFmtId="0" fontId="0" fillId="0" borderId="0" xfId="0"/>
    <xf numFmtId="0" fontId="13" fillId="11" borderId="0" xfId="33">
      <alignment horizontal="center"/>
    </xf>
    <xf numFmtId="0" fontId="26" fillId="0" borderId="3" xfId="13" applyAlignment="1">
      <alignment horizontal="left"/>
    </xf>
    <xf numFmtId="0" fontId="25" fillId="4" borderId="4" xfId="14" applyAlignment="1">
      <alignment horizontal="left"/>
      <protection locked="0"/>
    </xf>
  </cellXfs>
  <cellStyles count="43">
    <cellStyle name="Accounts Ref" xfId="15" xr:uid="{00000000-0005-0000-0000-000000000000}"/>
    <cellStyle name="Assumption" xfId="14" xr:uid="{00000000-0005-0000-0000-000001000000}"/>
    <cellStyle name="Comma" xfId="1" builtinId="3"/>
    <cellStyle name="Comma [0]" xfId="2" builtinId="6"/>
    <cellStyle name="Constraint" xfId="13" xr:uid="{00000000-0005-0000-0000-000004000000}"/>
    <cellStyle name="Currency" xfId="3" builtinId="4"/>
    <cellStyle name="Currency [0]" xfId="4" builtinId="7"/>
    <cellStyle name="Date" xfId="16" xr:uid="{00000000-0005-0000-0000-000007000000}"/>
    <cellStyle name="Date Heading" xfId="17" xr:uid="{00000000-0005-0000-0000-000008000000}"/>
    <cellStyle name="Empty" xfId="18" xr:uid="{00000000-0005-0000-0000-000009000000}"/>
    <cellStyle name="Error_Checks" xfId="19" xr:uid="{00000000-0005-0000-0000-00000A000000}"/>
    <cellStyle name="Heading 1" xfId="37" builtinId="16" customBuiltin="1"/>
    <cellStyle name="Heading 1 Number" xfId="41" xr:uid="{00000000-0005-0000-0000-00000C000000}"/>
    <cellStyle name="Heading 1 Text" xfId="10" xr:uid="{00000000-0005-0000-0000-00000D000000}"/>
    <cellStyle name="Heading 2" xfId="38" builtinId="17" customBuiltin="1"/>
    <cellStyle name="Heading 2 Text" xfId="11" xr:uid="{00000000-0005-0000-0000-00000F000000}"/>
    <cellStyle name="Heading 3" xfId="39" builtinId="18" customBuiltin="1"/>
    <cellStyle name="Heading 3 Text" xfId="12" xr:uid="{00000000-0005-0000-0000-000011000000}"/>
    <cellStyle name="Heading 4" xfId="6" builtinId="19" customBuiltin="1"/>
    <cellStyle name="Hyperlink" xfId="8" builtinId="8" customBuiltin="1"/>
    <cellStyle name="Hyperlink Text" xfId="20" xr:uid="{00000000-0005-0000-0000-000014000000}"/>
    <cellStyle name="Internal Ref" xfId="21" xr:uid="{00000000-0005-0000-0000-000015000000}"/>
    <cellStyle name="Line Calc" xfId="22" xr:uid="{00000000-0005-0000-0000-000016000000}"/>
    <cellStyle name="Line Total" xfId="23" xr:uid="{00000000-0005-0000-0000-000017000000}"/>
    <cellStyle name="Model Name" xfId="9" xr:uid="{00000000-0005-0000-0000-000018000000}"/>
    <cellStyle name="Normal" xfId="0" builtinId="0" customBuiltin="1"/>
    <cellStyle name="Normal 2" xfId="24" xr:uid="{00000000-0005-0000-0000-00001A000000}"/>
    <cellStyle name="Notes" xfId="25" xr:uid="{00000000-0005-0000-0000-00001B000000}"/>
    <cellStyle name="Numbers 0" xfId="26" xr:uid="{00000000-0005-0000-0000-00001C000000}"/>
    <cellStyle name="Parameter" xfId="27" xr:uid="{00000000-0005-0000-0000-00001D000000}"/>
    <cellStyle name="Percent" xfId="5" builtinId="5"/>
    <cellStyle name="Range Name Description" xfId="28" xr:uid="{00000000-0005-0000-0000-00001F000000}"/>
    <cellStyle name="Right Currency" xfId="29" xr:uid="{00000000-0005-0000-0000-000020000000}"/>
    <cellStyle name="Right Number" xfId="30" xr:uid="{00000000-0005-0000-0000-000021000000}"/>
    <cellStyle name="Right Percentage" xfId="42" xr:uid="{99127C16-25BF-422A-9695-2E8C98AECD3F}"/>
    <cellStyle name="Row Ref" xfId="31" xr:uid="{00000000-0005-0000-0000-000022000000}"/>
    <cellStyle name="Row_Summary" xfId="32" xr:uid="{00000000-0005-0000-0000-000023000000}"/>
    <cellStyle name="Sheet Title" xfId="7" xr:uid="{00000000-0005-0000-0000-000024000000}"/>
    <cellStyle name="Table_Heading" xfId="33" xr:uid="{00000000-0005-0000-0000-000025000000}"/>
    <cellStyle name="Title" xfId="36" builtinId="15" customBuiltin="1"/>
    <cellStyle name="Total" xfId="40" builtinId="25" customBuiltin="1"/>
    <cellStyle name="Units" xfId="34" xr:uid="{00000000-0005-0000-0000-000028000000}"/>
    <cellStyle name="WIP" xfId="35" xr:uid="{00000000-0005-0000-0000-000029000000}"/>
  </cellStyles>
  <dxfs count="20">
    <dxf>
      <numFmt numFmtId="167" formatCode="[$-C09]dd\-mmm\-yy;@"/>
    </dxf>
    <dxf>
      <font>
        <color rgb="FFFFFF00"/>
      </font>
      <fill>
        <patternFill>
          <bgColor rgb="FFC00000"/>
        </patternFill>
      </fill>
      <border>
        <left style="thin">
          <color indexed="64"/>
        </left>
        <right style="thin">
          <color indexed="64"/>
        </right>
        <top style="thin">
          <color indexed="64"/>
        </top>
        <bottom style="thin">
          <color indexed="64"/>
        </bottom>
      </border>
    </dxf>
    <dxf>
      <font>
        <color rgb="FFFFFF00"/>
      </font>
      <fill>
        <patternFill>
          <bgColor rgb="FFC00000"/>
        </patternFill>
      </fill>
      <border>
        <left style="thin">
          <color indexed="64"/>
        </left>
        <right style="thin">
          <color indexed="64"/>
        </right>
        <top style="thin">
          <color indexed="64"/>
        </top>
        <bottom style="thin">
          <color indexed="64"/>
        </bottom>
      </border>
    </dxf>
    <dxf>
      <font>
        <color rgb="FFFFFF00"/>
      </font>
      <fill>
        <patternFill>
          <bgColor rgb="FFC00000"/>
        </patternFill>
      </fill>
      <border>
        <left style="thin">
          <color indexed="64"/>
        </left>
        <right style="thin">
          <color indexed="64"/>
        </right>
        <top style="thin">
          <color indexed="64"/>
        </top>
        <bottom style="thin">
          <color indexed="64"/>
        </bottom>
      </border>
    </dxf>
    <dxf>
      <font>
        <color rgb="FFFFFF00"/>
      </font>
      <fill>
        <patternFill>
          <bgColor rgb="FFC00000"/>
        </patternFill>
      </fill>
      <border>
        <left style="thin">
          <color indexed="64"/>
        </left>
        <right style="thin">
          <color indexed="64"/>
        </right>
        <top style="thin">
          <color indexed="64"/>
        </top>
        <bottom style="thin">
          <color indexed="64"/>
        </bottom>
      </border>
    </dxf>
    <dxf>
      <font>
        <color rgb="FFFFFF00"/>
      </font>
      <fill>
        <patternFill>
          <bgColor rgb="FFC00000"/>
        </patternFill>
      </fill>
      <border>
        <left style="thin">
          <color indexed="64"/>
        </left>
        <right style="thin">
          <color indexed="64"/>
        </right>
        <top style="thin">
          <color indexed="64"/>
        </top>
        <bottom style="thin">
          <color indexed="64"/>
        </bottom>
      </border>
    </dxf>
    <dxf>
      <font>
        <color rgb="FFFFFF00"/>
      </font>
      <fill>
        <patternFill>
          <bgColor rgb="FFC00000"/>
        </patternFill>
      </fill>
      <border>
        <left style="thin">
          <color indexed="64"/>
        </left>
        <right style="thin">
          <color indexed="64"/>
        </right>
        <top style="thin">
          <color indexed="64"/>
        </top>
        <bottom style="thin">
          <color indexed="64"/>
        </bottom>
      </border>
    </dxf>
    <dxf>
      <font>
        <color rgb="FFFFFF00"/>
      </font>
      <fill>
        <patternFill>
          <bgColor rgb="FFC00000"/>
        </patternFill>
      </fill>
      <border>
        <left style="thin">
          <color indexed="64"/>
        </left>
        <right style="thin">
          <color indexed="64"/>
        </right>
        <top style="thin">
          <color indexed="64"/>
        </top>
        <bottom style="thin">
          <color indexed="64"/>
        </bottom>
      </border>
    </dxf>
    <dxf>
      <font>
        <color rgb="FFFFFF00"/>
      </font>
      <fill>
        <patternFill>
          <bgColor rgb="FFC00000"/>
        </patternFill>
      </fill>
      <border>
        <left style="thin">
          <color indexed="64"/>
        </left>
        <right style="thin">
          <color indexed="64"/>
        </right>
        <top style="thin">
          <color indexed="64"/>
        </top>
        <bottom style="thin">
          <color indexed="64"/>
        </bottom>
      </border>
    </dxf>
    <dxf>
      <font>
        <color rgb="FFFFFF00"/>
      </font>
      <fill>
        <patternFill>
          <bgColor rgb="FFC00000"/>
        </patternFill>
      </fill>
      <border>
        <left style="thin">
          <color indexed="64"/>
        </left>
        <right style="thin">
          <color indexed="64"/>
        </right>
        <top style="thin">
          <color indexed="64"/>
        </top>
        <bottom style="thin">
          <color indexed="64"/>
        </bottom>
      </border>
    </dxf>
    <dxf>
      <font>
        <color rgb="FFFFFF00"/>
      </font>
      <fill>
        <patternFill>
          <bgColor rgb="FFC00000"/>
        </patternFill>
      </fill>
      <border>
        <left style="thin">
          <color indexed="64"/>
        </left>
        <right style="thin">
          <color indexed="64"/>
        </right>
        <top style="thin">
          <color indexed="64"/>
        </top>
        <bottom style="thin">
          <color indexed="64"/>
        </bottom>
      </border>
    </dxf>
    <dxf>
      <font>
        <color rgb="FFFFFF00"/>
      </font>
      <fill>
        <patternFill>
          <bgColor rgb="FFC00000"/>
        </patternFill>
      </fill>
      <border>
        <left style="thin">
          <color indexed="64"/>
        </left>
        <right style="thin">
          <color indexed="64"/>
        </right>
        <top style="thin">
          <color indexed="64"/>
        </top>
        <bottom style="thin">
          <color indexed="64"/>
        </bottom>
      </border>
    </dxf>
    <dxf>
      <font>
        <color rgb="FFFFFF00"/>
      </font>
      <fill>
        <patternFill>
          <bgColor rgb="FFC00000"/>
        </patternFill>
      </fill>
      <border>
        <left style="thin">
          <color indexed="64"/>
        </left>
        <right style="thin">
          <color indexed="64"/>
        </right>
        <top style="thin">
          <color indexed="64"/>
        </top>
        <bottom style="thin">
          <color indexed="64"/>
        </bottom>
      </border>
    </dxf>
    <dxf>
      <font>
        <color rgb="FFFFFF00"/>
      </font>
      <fill>
        <patternFill>
          <bgColor rgb="FFC00000"/>
        </patternFill>
      </fill>
      <border>
        <left style="thin">
          <color indexed="64"/>
        </left>
        <right style="thin">
          <color indexed="64"/>
        </right>
        <top style="thin">
          <color indexed="64"/>
        </top>
        <bottom style="thin">
          <color indexed="64"/>
        </bottom>
      </border>
    </dxf>
    <dxf>
      <font>
        <color rgb="FFFFFF00"/>
      </font>
      <fill>
        <patternFill>
          <bgColor rgb="FFC00000"/>
        </patternFill>
      </fill>
      <border>
        <left style="thin">
          <color indexed="64"/>
        </left>
        <right style="thin">
          <color indexed="64"/>
        </right>
        <top style="thin">
          <color indexed="64"/>
        </top>
        <bottom style="thin">
          <color indexed="64"/>
        </bottom>
      </border>
    </dxf>
    <dxf>
      <font>
        <color rgb="FFFFFF00"/>
      </font>
      <fill>
        <patternFill>
          <bgColor rgb="FFC00000"/>
        </patternFill>
      </fill>
      <border>
        <left style="thin">
          <color indexed="64"/>
        </left>
        <right style="thin">
          <color indexed="64"/>
        </right>
        <top style="thin">
          <color indexed="64"/>
        </top>
        <bottom style="thin">
          <color indexed="64"/>
        </bottom>
      </border>
    </dxf>
    <dxf>
      <font>
        <b/>
        <i val="0"/>
        <color rgb="FFFFFF00"/>
      </font>
      <fill>
        <patternFill>
          <bgColor rgb="FFFF0000"/>
        </patternFill>
      </fill>
    </dxf>
    <dxf>
      <fill>
        <patternFill>
          <bgColor theme="8" tint="0.59996337778862885"/>
        </patternFill>
      </fill>
    </dxf>
    <dxf>
      <fill>
        <patternFill>
          <bgColor theme="8" tint="0.79998168889431442"/>
        </patternFill>
      </fill>
    </dxf>
    <dxf>
      <font>
        <b/>
        <i val="0"/>
      </font>
      <fill>
        <patternFill>
          <bgColor theme="1" tint="0.499984740745262"/>
        </patternFill>
      </fill>
      <border diagonalUp="0" diagonalDown="0">
        <left/>
        <right/>
        <top/>
        <bottom/>
        <vertical/>
        <horizontal/>
      </border>
    </dxf>
  </dxfs>
  <tableStyles count="1" defaultTableStyle="TableStyleMedium2" defaultPivotStyle="PivotStyleLight16">
    <tableStyle name="Table Style 1" pivot="0" count="3" xr9:uid="{00000000-0011-0000-FFFF-FFFF00000000}">
      <tableStyleElement type="headerRow" dxfId="19"/>
      <tableStyleElement type="firstRowStripe" dxfId="18"/>
      <tableStyleElement type="secondRowStripe"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NPV at various discount rates</a:t>
            </a:r>
          </a:p>
        </c:rich>
      </c:tx>
      <c:overlay val="0"/>
    </c:title>
    <c:autoTitleDeleted val="0"/>
    <c:plotArea>
      <c:layout/>
      <c:lineChart>
        <c:grouping val="standard"/>
        <c:varyColors val="0"/>
        <c:ser>
          <c:idx val="1"/>
          <c:order val="0"/>
          <c:tx>
            <c:strRef>
              <c:f>'Value Not Right'!$G$73</c:f>
              <c:strCache>
                <c:ptCount val="1"/>
                <c:pt idx="0">
                  <c:v>NPV</c:v>
                </c:pt>
              </c:strCache>
            </c:strRef>
          </c:tx>
          <c:marker>
            <c:symbol val="none"/>
          </c:marker>
          <c:cat>
            <c:numRef>
              <c:f>'Value Not Right'!$F$74:$F$174</c:f>
              <c:numCache>
                <c:formatCode>0.00%</c:formatCode>
                <c:ptCount val="101"/>
                <c:pt idx="0">
                  <c:v>0</c:v>
                </c:pt>
                <c:pt idx="1">
                  <c:v>0.1</c:v>
                </c:pt>
                <c:pt idx="2">
                  <c:v>0.2</c:v>
                </c:pt>
                <c:pt idx="3">
                  <c:v>0.30000000000000004</c:v>
                </c:pt>
                <c:pt idx="4">
                  <c:v>0.4</c:v>
                </c:pt>
                <c:pt idx="5">
                  <c:v>0.5</c:v>
                </c:pt>
                <c:pt idx="6">
                  <c:v>0.6</c:v>
                </c:pt>
                <c:pt idx="7">
                  <c:v>0.7</c:v>
                </c:pt>
                <c:pt idx="8">
                  <c:v>0.79999999999999993</c:v>
                </c:pt>
                <c:pt idx="9">
                  <c:v>0.89999999999999991</c:v>
                </c:pt>
                <c:pt idx="10">
                  <c:v>0.99999999999999989</c:v>
                </c:pt>
                <c:pt idx="11">
                  <c:v>1.0999999999999999</c:v>
                </c:pt>
                <c:pt idx="12">
                  <c:v>1.2</c:v>
                </c:pt>
                <c:pt idx="13">
                  <c:v>1.3</c:v>
                </c:pt>
                <c:pt idx="14">
                  <c:v>1.4000000000000001</c:v>
                </c:pt>
                <c:pt idx="15">
                  <c:v>1.5000000000000002</c:v>
                </c:pt>
                <c:pt idx="16">
                  <c:v>1.6000000000000003</c:v>
                </c:pt>
                <c:pt idx="17">
                  <c:v>1.7000000000000004</c:v>
                </c:pt>
                <c:pt idx="18">
                  <c:v>1.8000000000000005</c:v>
                </c:pt>
                <c:pt idx="19">
                  <c:v>1.9000000000000006</c:v>
                </c:pt>
                <c:pt idx="20">
                  <c:v>2.0000000000000004</c:v>
                </c:pt>
                <c:pt idx="21">
                  <c:v>2.1000000000000005</c:v>
                </c:pt>
                <c:pt idx="22">
                  <c:v>2.2000000000000006</c:v>
                </c:pt>
                <c:pt idx="23">
                  <c:v>2.3000000000000007</c:v>
                </c:pt>
                <c:pt idx="24">
                  <c:v>2.4000000000000008</c:v>
                </c:pt>
                <c:pt idx="25">
                  <c:v>2.5000000000000009</c:v>
                </c:pt>
                <c:pt idx="26">
                  <c:v>2.600000000000001</c:v>
                </c:pt>
                <c:pt idx="27">
                  <c:v>2.7000000000000011</c:v>
                </c:pt>
                <c:pt idx="28">
                  <c:v>2.8000000000000012</c:v>
                </c:pt>
                <c:pt idx="29">
                  <c:v>2.9000000000000012</c:v>
                </c:pt>
                <c:pt idx="30">
                  <c:v>3.0000000000000013</c:v>
                </c:pt>
                <c:pt idx="31">
                  <c:v>3.1000000000000014</c:v>
                </c:pt>
                <c:pt idx="32">
                  <c:v>3.2000000000000015</c:v>
                </c:pt>
                <c:pt idx="33">
                  <c:v>3.3000000000000016</c:v>
                </c:pt>
                <c:pt idx="34">
                  <c:v>3.4000000000000017</c:v>
                </c:pt>
                <c:pt idx="35">
                  <c:v>3.5000000000000018</c:v>
                </c:pt>
                <c:pt idx="36">
                  <c:v>3.6000000000000019</c:v>
                </c:pt>
                <c:pt idx="37">
                  <c:v>3.700000000000002</c:v>
                </c:pt>
                <c:pt idx="38">
                  <c:v>3.800000000000002</c:v>
                </c:pt>
                <c:pt idx="39">
                  <c:v>3.9000000000000021</c:v>
                </c:pt>
                <c:pt idx="40">
                  <c:v>4.0000000000000018</c:v>
                </c:pt>
                <c:pt idx="41">
                  <c:v>4.1000000000000014</c:v>
                </c:pt>
                <c:pt idx="42">
                  <c:v>4.2000000000000011</c:v>
                </c:pt>
                <c:pt idx="43">
                  <c:v>4.3000000000000007</c:v>
                </c:pt>
                <c:pt idx="44">
                  <c:v>4.4000000000000004</c:v>
                </c:pt>
                <c:pt idx="45">
                  <c:v>4.5</c:v>
                </c:pt>
                <c:pt idx="46">
                  <c:v>4.5999999999999996</c:v>
                </c:pt>
                <c:pt idx="47">
                  <c:v>4.6999999999999993</c:v>
                </c:pt>
                <c:pt idx="48">
                  <c:v>4.7999999999999989</c:v>
                </c:pt>
                <c:pt idx="49">
                  <c:v>4.8999999999999986</c:v>
                </c:pt>
                <c:pt idx="50">
                  <c:v>4.9999999999999982</c:v>
                </c:pt>
                <c:pt idx="51">
                  <c:v>5.0999999999999979</c:v>
                </c:pt>
                <c:pt idx="52">
                  <c:v>5.1999999999999975</c:v>
                </c:pt>
                <c:pt idx="53">
                  <c:v>5.2999999999999972</c:v>
                </c:pt>
                <c:pt idx="54">
                  <c:v>5.3999999999999968</c:v>
                </c:pt>
                <c:pt idx="55">
                  <c:v>5.4999999999999964</c:v>
                </c:pt>
                <c:pt idx="56">
                  <c:v>5.5999999999999961</c:v>
                </c:pt>
                <c:pt idx="57">
                  <c:v>5.6999999999999957</c:v>
                </c:pt>
                <c:pt idx="58">
                  <c:v>5.7999999999999954</c:v>
                </c:pt>
                <c:pt idx="59">
                  <c:v>5.899999999999995</c:v>
                </c:pt>
                <c:pt idx="60">
                  <c:v>5.9999999999999947</c:v>
                </c:pt>
                <c:pt idx="61">
                  <c:v>6.0999999999999943</c:v>
                </c:pt>
                <c:pt idx="62">
                  <c:v>6.199999999999994</c:v>
                </c:pt>
                <c:pt idx="63">
                  <c:v>6.2999999999999936</c:v>
                </c:pt>
                <c:pt idx="64">
                  <c:v>6.3999999999999932</c:v>
                </c:pt>
                <c:pt idx="65">
                  <c:v>6.4999999999999929</c:v>
                </c:pt>
                <c:pt idx="66">
                  <c:v>6.5999999999999925</c:v>
                </c:pt>
                <c:pt idx="67">
                  <c:v>6.6999999999999922</c:v>
                </c:pt>
                <c:pt idx="68">
                  <c:v>6.7999999999999918</c:v>
                </c:pt>
                <c:pt idx="69">
                  <c:v>6.8999999999999915</c:v>
                </c:pt>
                <c:pt idx="70">
                  <c:v>6.9999999999999911</c:v>
                </c:pt>
                <c:pt idx="71">
                  <c:v>7.0999999999999908</c:v>
                </c:pt>
                <c:pt idx="72">
                  <c:v>7.1999999999999904</c:v>
                </c:pt>
                <c:pt idx="73">
                  <c:v>7.2999999999999901</c:v>
                </c:pt>
                <c:pt idx="74">
                  <c:v>7.3999999999999897</c:v>
                </c:pt>
                <c:pt idx="75">
                  <c:v>7.4999999999999893</c:v>
                </c:pt>
                <c:pt idx="76">
                  <c:v>7.599999999999989</c:v>
                </c:pt>
                <c:pt idx="77">
                  <c:v>7.6999999999999886</c:v>
                </c:pt>
                <c:pt idx="78">
                  <c:v>7.7999999999999883</c:v>
                </c:pt>
                <c:pt idx="79">
                  <c:v>7.8999999999999879</c:v>
                </c:pt>
                <c:pt idx="80">
                  <c:v>7.9999999999999876</c:v>
                </c:pt>
                <c:pt idx="81">
                  <c:v>8.0999999999999872</c:v>
                </c:pt>
                <c:pt idx="82">
                  <c:v>8.1999999999999869</c:v>
                </c:pt>
                <c:pt idx="83">
                  <c:v>8.2999999999999865</c:v>
                </c:pt>
                <c:pt idx="84">
                  <c:v>8.3999999999999861</c:v>
                </c:pt>
                <c:pt idx="85">
                  <c:v>8.4999999999999858</c:v>
                </c:pt>
                <c:pt idx="86">
                  <c:v>8.5999999999999854</c:v>
                </c:pt>
                <c:pt idx="87">
                  <c:v>8.6999999999999851</c:v>
                </c:pt>
                <c:pt idx="88">
                  <c:v>8.7999999999999847</c:v>
                </c:pt>
                <c:pt idx="89">
                  <c:v>8.8999999999999844</c:v>
                </c:pt>
                <c:pt idx="90">
                  <c:v>8.999999999999984</c:v>
                </c:pt>
                <c:pt idx="91">
                  <c:v>9.0999999999999837</c:v>
                </c:pt>
                <c:pt idx="92">
                  <c:v>9.1999999999999833</c:v>
                </c:pt>
                <c:pt idx="93">
                  <c:v>9.2999999999999829</c:v>
                </c:pt>
                <c:pt idx="94">
                  <c:v>9.3999999999999826</c:v>
                </c:pt>
                <c:pt idx="95">
                  <c:v>9.4999999999999822</c:v>
                </c:pt>
                <c:pt idx="96">
                  <c:v>9.5999999999999819</c:v>
                </c:pt>
                <c:pt idx="97">
                  <c:v>9.6999999999999815</c:v>
                </c:pt>
                <c:pt idx="98">
                  <c:v>9.7999999999999812</c:v>
                </c:pt>
                <c:pt idx="99">
                  <c:v>9.8999999999999808</c:v>
                </c:pt>
                <c:pt idx="100">
                  <c:v>9.9999999999999805</c:v>
                </c:pt>
              </c:numCache>
            </c:numRef>
          </c:cat>
          <c:val>
            <c:numRef>
              <c:f>'Value Not Right'!$G$74:$G$174</c:f>
              <c:numCache>
                <c:formatCode>_("$"#,##0_);\("$"#,##0\);_("-"_)</c:formatCode>
                <c:ptCount val="101"/>
                <c:pt idx="0">
                  <c:v>20000</c:v>
                </c:pt>
                <c:pt idx="1">
                  <c:v>8343.3508640120053</c:v>
                </c:pt>
                <c:pt idx="2">
                  <c:v>833.33333333332848</c:v>
                </c:pt>
                <c:pt idx="3">
                  <c:v>-4080.5644060081977</c:v>
                </c:pt>
                <c:pt idx="4">
                  <c:v>-7317.7842565597639</c:v>
                </c:pt>
                <c:pt idx="5">
                  <c:v>-9444.4444444444416</c:v>
                </c:pt>
                <c:pt idx="6">
                  <c:v>-10820.312500000004</c:v>
                </c:pt>
                <c:pt idx="7">
                  <c:v>-11680.236108284142</c:v>
                </c:pt>
                <c:pt idx="8">
                  <c:v>-12181.069958847733</c:v>
                </c:pt>
                <c:pt idx="9">
                  <c:v>-12429.654468581428</c:v>
                </c:pt>
                <c:pt idx="10">
                  <c:v>-12500</c:v>
                </c:pt>
                <c:pt idx="11">
                  <c:v>-12444.120505344996</c:v>
                </c:pt>
                <c:pt idx="12">
                  <c:v>-12299.023290758825</c:v>
                </c:pt>
                <c:pt idx="13">
                  <c:v>-12091.312566778994</c:v>
                </c:pt>
                <c:pt idx="14">
                  <c:v>-11840.277777777777</c:v>
                </c:pt>
                <c:pt idx="15">
                  <c:v>-11560</c:v>
                </c:pt>
                <c:pt idx="16">
                  <c:v>-11260.810195721437</c:v>
                </c:pt>
                <c:pt idx="17">
                  <c:v>-10950.312452370064</c:v>
                </c:pt>
                <c:pt idx="18">
                  <c:v>-10634.110787172011</c:v>
                </c:pt>
                <c:pt idx="19">
                  <c:v>-10316.331132887775</c:v>
                </c:pt>
                <c:pt idx="20">
                  <c:v>-10000</c:v>
                </c:pt>
                <c:pt idx="21">
                  <c:v>-9687.321674331175</c:v>
                </c:pt>
                <c:pt idx="22">
                  <c:v>-9379.8828124999964</c:v>
                </c:pt>
                <c:pt idx="23">
                  <c:v>-9078.8045746723419</c:v>
                </c:pt>
                <c:pt idx="24">
                  <c:v>-8784.8565031548933</c:v>
                </c:pt>
                <c:pt idx="25">
                  <c:v>-8498.5422740524755</c:v>
                </c:pt>
                <c:pt idx="26">
                  <c:v>-8220.164609053496</c:v>
                </c:pt>
                <c:pt idx="27">
                  <c:v>-7949.8746372376736</c:v>
                </c:pt>
                <c:pt idx="28">
                  <c:v>-7687.7095786557775</c:v>
                </c:pt>
                <c:pt idx="29">
                  <c:v>-7433.6216052192358</c:v>
                </c:pt>
                <c:pt idx="30">
                  <c:v>-7187.4999999999964</c:v>
                </c:pt>
                <c:pt idx="31">
                  <c:v>-6949.1882009837318</c:v>
                </c:pt>
                <c:pt idx="32">
                  <c:v>-6718.4969225785517</c:v>
                </c:pt>
                <c:pt idx="33">
                  <c:v>-6495.2142578640833</c:v>
                </c:pt>
                <c:pt idx="34">
                  <c:v>-6279.1134485349321</c:v>
                </c:pt>
                <c:pt idx="35">
                  <c:v>-6069.9588477366215</c:v>
                </c:pt>
                <c:pt idx="36">
                  <c:v>-5867.510479164951</c:v>
                </c:pt>
                <c:pt idx="37">
                  <c:v>-5671.5275035396753</c:v>
                </c:pt>
                <c:pt idx="38">
                  <c:v>-5481.7708333333276</c:v>
                </c:pt>
                <c:pt idx="39">
                  <c:v>-5298.0050829161264</c:v>
                </c:pt>
                <c:pt idx="40">
                  <c:v>-5119.9999999999973</c:v>
                </c:pt>
                <c:pt idx="41">
                  <c:v>-4947.5314924124195</c:v>
                </c:pt>
                <c:pt idx="42">
                  <c:v>-4780.3823395539348</c:v>
                </c:pt>
                <c:pt idx="43">
                  <c:v>-4618.3426587048343</c:v>
                </c:pt>
                <c:pt idx="44">
                  <c:v>-4461.2101813747895</c:v>
                </c:pt>
                <c:pt idx="45">
                  <c:v>-4308.790383170548</c:v>
                </c:pt>
                <c:pt idx="46">
                  <c:v>-4160.8965014577261</c:v>
                </c:pt>
                <c:pt idx="47">
                  <c:v>-4017.349467852458</c:v>
                </c:pt>
                <c:pt idx="48">
                  <c:v>-3877.9777768666222</c:v>
                </c:pt>
                <c:pt idx="49">
                  <c:v>-3742.6173075144029</c:v>
                </c:pt>
                <c:pt idx="50">
                  <c:v>-3611.111111111114</c:v>
                </c:pt>
                <c:pt idx="51">
                  <c:v>-3483.3091756578765</c:v>
                </c:pt>
                <c:pt idx="52">
                  <c:v>-3359.0681749521691</c:v>
                </c:pt>
                <c:pt idx="53">
                  <c:v>-3238.2512087727532</c:v>
                </c:pt>
                <c:pt idx="54">
                  <c:v>-3120.7275390625027</c:v>
                </c:pt>
                <c:pt idx="55">
                  <c:v>-3006.3723258989576</c:v>
                </c:pt>
                <c:pt idx="56">
                  <c:v>-2895.0663661407498</c:v>
                </c:pt>
                <c:pt idx="57">
                  <c:v>-2786.6958369214349</c:v>
                </c:pt>
                <c:pt idx="58">
                  <c:v>-2681.1520455933282</c:v>
                </c:pt>
                <c:pt idx="59">
                  <c:v>-2578.3311872734134</c:v>
                </c:pt>
                <c:pt idx="60">
                  <c:v>-2478.1341107871772</c:v>
                </c:pt>
                <c:pt idx="61">
                  <c:v>-2380.4660935260495</c:v>
                </c:pt>
                <c:pt idx="62">
                  <c:v>-2285.2366255144088</c:v>
                </c:pt>
                <c:pt idx="63">
                  <c:v>-2192.3592028111939</c:v>
                </c:pt>
                <c:pt idx="64">
                  <c:v>-2101.7511302390831</c:v>
                </c:pt>
                <c:pt idx="65">
                  <c:v>-2013.3333333333394</c:v>
                </c:pt>
                <c:pt idx="66">
                  <c:v>-1927.0301793264384</c:v>
                </c:pt>
                <c:pt idx="67">
                  <c:v>-1842.769306928531</c:v>
                </c:pt>
                <c:pt idx="68">
                  <c:v>-1760.4814646234836</c:v>
                </c:pt>
                <c:pt idx="69">
                  <c:v>-1680.1003571725628</c:v>
                </c:pt>
                <c:pt idx="70">
                  <c:v>-1601.5625000000064</c:v>
                </c:pt>
                <c:pt idx="71">
                  <c:v>-1524.8070811247226</c:v>
                </c:pt>
                <c:pt idx="72">
                  <c:v>-1449.7758302984648</c:v>
                </c:pt>
                <c:pt idx="73">
                  <c:v>-1376.4128950116108</c:v>
                </c:pt>
                <c:pt idx="74">
                  <c:v>-1304.6647230320775</c:v>
                </c:pt>
                <c:pt idx="75">
                  <c:v>-1234.479951150018</c:v>
                </c:pt>
                <c:pt idx="76">
                  <c:v>-1165.8092998100872</c:v>
                </c:pt>
                <c:pt idx="77">
                  <c:v>-1098.6054733235915</c:v>
                </c:pt>
                <c:pt idx="78">
                  <c:v>-1032.8230653643952</c:v>
                </c:pt>
                <c:pt idx="79">
                  <c:v>-968.41846946462204</c:v>
                </c:pt>
                <c:pt idx="80">
                  <c:v>-905.34979423869083</c:v>
                </c:pt>
                <c:pt idx="81">
                  <c:v>-843.5767830768516</c:v>
                </c:pt>
                <c:pt idx="82">
                  <c:v>-783.0607380619789</c:v>
                </c:pt>
                <c:pt idx="83">
                  <c:v>-723.76444787576429</c:v>
                </c:pt>
                <c:pt idx="84">
                  <c:v>-665.65211947257217</c:v>
                </c:pt>
                <c:pt idx="85">
                  <c:v>-608.68931331098622</c:v>
                </c:pt>
                <c:pt idx="86">
                  <c:v>-552.8428819444523</c:v>
                </c:pt>
                <c:pt idx="87">
                  <c:v>-498.08091178330807</c:v>
                </c:pt>
                <c:pt idx="88">
                  <c:v>-444.37266785098882</c:v>
                </c:pt>
                <c:pt idx="89">
                  <c:v>-391.68854136715419</c:v>
                </c:pt>
                <c:pt idx="90">
                  <c:v>-340.00000000000847</c:v>
                </c:pt>
                <c:pt idx="91">
                  <c:v>-289.27954063910272</c:v>
                </c:pt>
                <c:pt idx="92">
                  <c:v>-239.50064454848518</c:v>
                </c:pt>
                <c:pt idx="93">
                  <c:v>-190.63773476816164</c:v>
                </c:pt>
                <c:pt idx="94">
                  <c:v>-142.6661356395166</c:v>
                </c:pt>
                <c:pt idx="95">
                  <c:v>-95.562034337552603</c:v>
                </c:pt>
                <c:pt idx="96">
                  <c:v>-49.302444299665076</c:v>
                </c:pt>
                <c:pt idx="97">
                  <c:v>-3.865170447086129</c:v>
                </c:pt>
                <c:pt idx="98">
                  <c:v>40.771223898787817</c:v>
                </c:pt>
                <c:pt idx="99">
                  <c:v>84.627448497283723</c:v>
                </c:pt>
                <c:pt idx="100">
                  <c:v>127.72351615325965</c:v>
                </c:pt>
              </c:numCache>
            </c:numRef>
          </c:val>
          <c:smooth val="0"/>
          <c:extLst>
            <c:ext xmlns:c16="http://schemas.microsoft.com/office/drawing/2014/chart" uri="{C3380CC4-5D6E-409C-BE32-E72D297353CC}">
              <c16:uniqueId val="{00000000-A9EA-4A2D-A986-7915E3ECD287}"/>
            </c:ext>
          </c:extLst>
        </c:ser>
        <c:dLbls>
          <c:showLegendKey val="0"/>
          <c:showVal val="0"/>
          <c:showCatName val="0"/>
          <c:showSerName val="0"/>
          <c:showPercent val="0"/>
          <c:showBubbleSize val="0"/>
        </c:dLbls>
        <c:smooth val="0"/>
        <c:axId val="857808400"/>
        <c:axId val="1"/>
      </c:lineChart>
      <c:catAx>
        <c:axId val="857808400"/>
        <c:scaling>
          <c:orientation val="minMax"/>
        </c:scaling>
        <c:delete val="0"/>
        <c:axPos val="b"/>
        <c:title>
          <c:tx>
            <c:rich>
              <a:bodyPr/>
              <a:lstStyle/>
              <a:p>
                <a:pPr>
                  <a:defRPr/>
                </a:pPr>
                <a:r>
                  <a:rPr lang="en-US"/>
                  <a:t>Discount Rate (%)</a:t>
                </a:r>
              </a:p>
            </c:rich>
          </c:tx>
          <c:overlay val="0"/>
        </c:title>
        <c:numFmt formatCode="0.00%" sourceLinked="1"/>
        <c:majorTickMark val="out"/>
        <c:minorTickMark val="none"/>
        <c:tickLblPos val="low"/>
        <c:crossAx val="1"/>
        <c:crosses val="autoZero"/>
        <c:auto val="1"/>
        <c:lblAlgn val="ctr"/>
        <c:lblOffset val="100"/>
        <c:tickLblSkip val="50"/>
        <c:tickMarkSkip val="50"/>
        <c:noMultiLvlLbl val="0"/>
      </c:catAx>
      <c:valAx>
        <c:axId val="1"/>
        <c:scaling>
          <c:orientation val="minMax"/>
        </c:scaling>
        <c:delete val="0"/>
        <c:axPos val="l"/>
        <c:title>
          <c:tx>
            <c:rich>
              <a:bodyPr rot="-5400000" vert="horz"/>
              <a:lstStyle/>
              <a:p>
                <a:pPr>
                  <a:defRPr/>
                </a:pPr>
                <a:r>
                  <a:rPr lang="en-US"/>
                  <a:t>NPV ($k)</a:t>
                </a:r>
              </a:p>
            </c:rich>
          </c:tx>
          <c:overlay val="0"/>
        </c:title>
        <c:numFmt formatCode="_(#,##0,_);\(#,##0,\);_(&quot;-&quot;_)" sourceLinked="0"/>
        <c:majorTickMark val="out"/>
        <c:minorTickMark val="none"/>
        <c:tickLblPos val="nextTo"/>
        <c:crossAx val="857808400"/>
        <c:crosses val="autoZero"/>
        <c:crossBetween val="between"/>
      </c:valAx>
    </c:plotArea>
    <c:plotVisOnly val="0"/>
    <c:dispBlanksAs val="gap"/>
    <c:showDLblsOverMax val="0"/>
  </c:chart>
  <c:txPr>
    <a:bodyPr/>
    <a:lstStyle/>
    <a:p>
      <a:pPr>
        <a:defRPr>
          <a:solidFill>
            <a:srgbClr val="C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NPV at various discount rates</a:t>
            </a:r>
          </a:p>
        </c:rich>
      </c:tx>
      <c:overlay val="0"/>
    </c:title>
    <c:autoTitleDeleted val="0"/>
    <c:plotArea>
      <c:layout/>
      <c:lineChart>
        <c:grouping val="standard"/>
        <c:varyColors val="0"/>
        <c:ser>
          <c:idx val="1"/>
          <c:order val="0"/>
          <c:tx>
            <c:strRef>
              <c:f>'Value Not Right'!$G$73</c:f>
              <c:strCache>
                <c:ptCount val="1"/>
                <c:pt idx="0">
                  <c:v>NPV</c:v>
                </c:pt>
              </c:strCache>
            </c:strRef>
          </c:tx>
          <c:marker>
            <c:symbol val="none"/>
          </c:marker>
          <c:cat>
            <c:numRef>
              <c:f>'Value Not Right'!$F$74:$F$174</c:f>
              <c:numCache>
                <c:formatCode>0.00%</c:formatCode>
                <c:ptCount val="101"/>
                <c:pt idx="0">
                  <c:v>0</c:v>
                </c:pt>
                <c:pt idx="1">
                  <c:v>0.1</c:v>
                </c:pt>
                <c:pt idx="2">
                  <c:v>0.2</c:v>
                </c:pt>
                <c:pt idx="3">
                  <c:v>0.30000000000000004</c:v>
                </c:pt>
                <c:pt idx="4">
                  <c:v>0.4</c:v>
                </c:pt>
                <c:pt idx="5">
                  <c:v>0.5</c:v>
                </c:pt>
                <c:pt idx="6">
                  <c:v>0.6</c:v>
                </c:pt>
                <c:pt idx="7">
                  <c:v>0.7</c:v>
                </c:pt>
                <c:pt idx="8">
                  <c:v>0.79999999999999993</c:v>
                </c:pt>
                <c:pt idx="9">
                  <c:v>0.89999999999999991</c:v>
                </c:pt>
                <c:pt idx="10">
                  <c:v>0.99999999999999989</c:v>
                </c:pt>
                <c:pt idx="11">
                  <c:v>1.0999999999999999</c:v>
                </c:pt>
                <c:pt idx="12">
                  <c:v>1.2</c:v>
                </c:pt>
                <c:pt idx="13">
                  <c:v>1.3</c:v>
                </c:pt>
                <c:pt idx="14">
                  <c:v>1.4000000000000001</c:v>
                </c:pt>
                <c:pt idx="15">
                  <c:v>1.5000000000000002</c:v>
                </c:pt>
                <c:pt idx="16">
                  <c:v>1.6000000000000003</c:v>
                </c:pt>
                <c:pt idx="17">
                  <c:v>1.7000000000000004</c:v>
                </c:pt>
                <c:pt idx="18">
                  <c:v>1.8000000000000005</c:v>
                </c:pt>
                <c:pt idx="19">
                  <c:v>1.9000000000000006</c:v>
                </c:pt>
                <c:pt idx="20">
                  <c:v>2.0000000000000004</c:v>
                </c:pt>
                <c:pt idx="21">
                  <c:v>2.1000000000000005</c:v>
                </c:pt>
                <c:pt idx="22">
                  <c:v>2.2000000000000006</c:v>
                </c:pt>
                <c:pt idx="23">
                  <c:v>2.3000000000000007</c:v>
                </c:pt>
                <c:pt idx="24">
                  <c:v>2.4000000000000008</c:v>
                </c:pt>
                <c:pt idx="25">
                  <c:v>2.5000000000000009</c:v>
                </c:pt>
                <c:pt idx="26">
                  <c:v>2.600000000000001</c:v>
                </c:pt>
                <c:pt idx="27">
                  <c:v>2.7000000000000011</c:v>
                </c:pt>
                <c:pt idx="28">
                  <c:v>2.8000000000000012</c:v>
                </c:pt>
                <c:pt idx="29">
                  <c:v>2.9000000000000012</c:v>
                </c:pt>
                <c:pt idx="30">
                  <c:v>3.0000000000000013</c:v>
                </c:pt>
                <c:pt idx="31">
                  <c:v>3.1000000000000014</c:v>
                </c:pt>
                <c:pt idx="32">
                  <c:v>3.2000000000000015</c:v>
                </c:pt>
                <c:pt idx="33">
                  <c:v>3.3000000000000016</c:v>
                </c:pt>
                <c:pt idx="34">
                  <c:v>3.4000000000000017</c:v>
                </c:pt>
                <c:pt idx="35">
                  <c:v>3.5000000000000018</c:v>
                </c:pt>
                <c:pt idx="36">
                  <c:v>3.6000000000000019</c:v>
                </c:pt>
                <c:pt idx="37">
                  <c:v>3.700000000000002</c:v>
                </c:pt>
                <c:pt idx="38">
                  <c:v>3.800000000000002</c:v>
                </c:pt>
                <c:pt idx="39">
                  <c:v>3.9000000000000021</c:v>
                </c:pt>
                <c:pt idx="40">
                  <c:v>4.0000000000000018</c:v>
                </c:pt>
                <c:pt idx="41">
                  <c:v>4.1000000000000014</c:v>
                </c:pt>
                <c:pt idx="42">
                  <c:v>4.2000000000000011</c:v>
                </c:pt>
                <c:pt idx="43">
                  <c:v>4.3000000000000007</c:v>
                </c:pt>
                <c:pt idx="44">
                  <c:v>4.4000000000000004</c:v>
                </c:pt>
                <c:pt idx="45">
                  <c:v>4.5</c:v>
                </c:pt>
                <c:pt idx="46">
                  <c:v>4.5999999999999996</c:v>
                </c:pt>
                <c:pt idx="47">
                  <c:v>4.6999999999999993</c:v>
                </c:pt>
                <c:pt idx="48">
                  <c:v>4.7999999999999989</c:v>
                </c:pt>
                <c:pt idx="49">
                  <c:v>4.8999999999999986</c:v>
                </c:pt>
                <c:pt idx="50">
                  <c:v>4.9999999999999982</c:v>
                </c:pt>
                <c:pt idx="51">
                  <c:v>5.0999999999999979</c:v>
                </c:pt>
                <c:pt idx="52">
                  <c:v>5.1999999999999975</c:v>
                </c:pt>
                <c:pt idx="53">
                  <c:v>5.2999999999999972</c:v>
                </c:pt>
                <c:pt idx="54">
                  <c:v>5.3999999999999968</c:v>
                </c:pt>
                <c:pt idx="55">
                  <c:v>5.4999999999999964</c:v>
                </c:pt>
                <c:pt idx="56">
                  <c:v>5.5999999999999961</c:v>
                </c:pt>
                <c:pt idx="57">
                  <c:v>5.6999999999999957</c:v>
                </c:pt>
                <c:pt idx="58">
                  <c:v>5.7999999999999954</c:v>
                </c:pt>
                <c:pt idx="59">
                  <c:v>5.899999999999995</c:v>
                </c:pt>
                <c:pt idx="60">
                  <c:v>5.9999999999999947</c:v>
                </c:pt>
                <c:pt idx="61">
                  <c:v>6.0999999999999943</c:v>
                </c:pt>
                <c:pt idx="62">
                  <c:v>6.199999999999994</c:v>
                </c:pt>
                <c:pt idx="63">
                  <c:v>6.2999999999999936</c:v>
                </c:pt>
                <c:pt idx="64">
                  <c:v>6.3999999999999932</c:v>
                </c:pt>
                <c:pt idx="65">
                  <c:v>6.4999999999999929</c:v>
                </c:pt>
                <c:pt idx="66">
                  <c:v>6.5999999999999925</c:v>
                </c:pt>
                <c:pt idx="67">
                  <c:v>6.6999999999999922</c:v>
                </c:pt>
                <c:pt idx="68">
                  <c:v>6.7999999999999918</c:v>
                </c:pt>
                <c:pt idx="69">
                  <c:v>6.8999999999999915</c:v>
                </c:pt>
                <c:pt idx="70">
                  <c:v>6.9999999999999911</c:v>
                </c:pt>
                <c:pt idx="71">
                  <c:v>7.0999999999999908</c:v>
                </c:pt>
                <c:pt idx="72">
                  <c:v>7.1999999999999904</c:v>
                </c:pt>
                <c:pt idx="73">
                  <c:v>7.2999999999999901</c:v>
                </c:pt>
                <c:pt idx="74">
                  <c:v>7.3999999999999897</c:v>
                </c:pt>
                <c:pt idx="75">
                  <c:v>7.4999999999999893</c:v>
                </c:pt>
                <c:pt idx="76">
                  <c:v>7.599999999999989</c:v>
                </c:pt>
                <c:pt idx="77">
                  <c:v>7.6999999999999886</c:v>
                </c:pt>
                <c:pt idx="78">
                  <c:v>7.7999999999999883</c:v>
                </c:pt>
                <c:pt idx="79">
                  <c:v>7.8999999999999879</c:v>
                </c:pt>
                <c:pt idx="80">
                  <c:v>7.9999999999999876</c:v>
                </c:pt>
                <c:pt idx="81">
                  <c:v>8.0999999999999872</c:v>
                </c:pt>
                <c:pt idx="82">
                  <c:v>8.1999999999999869</c:v>
                </c:pt>
                <c:pt idx="83">
                  <c:v>8.2999999999999865</c:v>
                </c:pt>
                <c:pt idx="84">
                  <c:v>8.3999999999999861</c:v>
                </c:pt>
                <c:pt idx="85">
                  <c:v>8.4999999999999858</c:v>
                </c:pt>
                <c:pt idx="86">
                  <c:v>8.5999999999999854</c:v>
                </c:pt>
                <c:pt idx="87">
                  <c:v>8.6999999999999851</c:v>
                </c:pt>
                <c:pt idx="88">
                  <c:v>8.7999999999999847</c:v>
                </c:pt>
                <c:pt idx="89">
                  <c:v>8.8999999999999844</c:v>
                </c:pt>
                <c:pt idx="90">
                  <c:v>8.999999999999984</c:v>
                </c:pt>
                <c:pt idx="91">
                  <c:v>9.0999999999999837</c:v>
                </c:pt>
                <c:pt idx="92">
                  <c:v>9.1999999999999833</c:v>
                </c:pt>
                <c:pt idx="93">
                  <c:v>9.2999999999999829</c:v>
                </c:pt>
                <c:pt idx="94">
                  <c:v>9.3999999999999826</c:v>
                </c:pt>
                <c:pt idx="95">
                  <c:v>9.4999999999999822</c:v>
                </c:pt>
                <c:pt idx="96">
                  <c:v>9.5999999999999819</c:v>
                </c:pt>
                <c:pt idx="97">
                  <c:v>9.6999999999999815</c:v>
                </c:pt>
                <c:pt idx="98">
                  <c:v>9.7999999999999812</c:v>
                </c:pt>
                <c:pt idx="99">
                  <c:v>9.8999999999999808</c:v>
                </c:pt>
                <c:pt idx="100">
                  <c:v>9.9999999999999805</c:v>
                </c:pt>
              </c:numCache>
            </c:numRef>
          </c:cat>
          <c:val>
            <c:numRef>
              <c:f>'Value Not Right'!$G$74:$G$174</c:f>
              <c:numCache>
                <c:formatCode>_("$"#,##0_);\("$"#,##0\);_("-"_)</c:formatCode>
                <c:ptCount val="101"/>
                <c:pt idx="0">
                  <c:v>20000</c:v>
                </c:pt>
                <c:pt idx="1">
                  <c:v>8343.3508640120053</c:v>
                </c:pt>
                <c:pt idx="2">
                  <c:v>833.33333333332848</c:v>
                </c:pt>
                <c:pt idx="3">
                  <c:v>-4080.5644060081977</c:v>
                </c:pt>
                <c:pt idx="4">
                  <c:v>-7317.7842565597639</c:v>
                </c:pt>
                <c:pt idx="5">
                  <c:v>-9444.4444444444416</c:v>
                </c:pt>
                <c:pt idx="6">
                  <c:v>-10820.312500000004</c:v>
                </c:pt>
                <c:pt idx="7">
                  <c:v>-11680.236108284142</c:v>
                </c:pt>
                <c:pt idx="8">
                  <c:v>-12181.069958847733</c:v>
                </c:pt>
                <c:pt idx="9">
                  <c:v>-12429.654468581428</c:v>
                </c:pt>
                <c:pt idx="10">
                  <c:v>-12500</c:v>
                </c:pt>
                <c:pt idx="11">
                  <c:v>-12444.120505344996</c:v>
                </c:pt>
                <c:pt idx="12">
                  <c:v>-12299.023290758825</c:v>
                </c:pt>
                <c:pt idx="13">
                  <c:v>-12091.312566778994</c:v>
                </c:pt>
                <c:pt idx="14">
                  <c:v>-11840.277777777777</c:v>
                </c:pt>
                <c:pt idx="15">
                  <c:v>-11560</c:v>
                </c:pt>
                <c:pt idx="16">
                  <c:v>-11260.810195721437</c:v>
                </c:pt>
                <c:pt idx="17">
                  <c:v>-10950.312452370064</c:v>
                </c:pt>
                <c:pt idx="18">
                  <c:v>-10634.110787172011</c:v>
                </c:pt>
                <c:pt idx="19">
                  <c:v>-10316.331132887775</c:v>
                </c:pt>
                <c:pt idx="20">
                  <c:v>-10000</c:v>
                </c:pt>
                <c:pt idx="21">
                  <c:v>-9687.321674331175</c:v>
                </c:pt>
                <c:pt idx="22">
                  <c:v>-9379.8828124999964</c:v>
                </c:pt>
                <c:pt idx="23">
                  <c:v>-9078.8045746723419</c:v>
                </c:pt>
                <c:pt idx="24">
                  <c:v>-8784.8565031548933</c:v>
                </c:pt>
                <c:pt idx="25">
                  <c:v>-8498.5422740524755</c:v>
                </c:pt>
                <c:pt idx="26">
                  <c:v>-8220.164609053496</c:v>
                </c:pt>
                <c:pt idx="27">
                  <c:v>-7949.8746372376736</c:v>
                </c:pt>
                <c:pt idx="28">
                  <c:v>-7687.7095786557775</c:v>
                </c:pt>
                <c:pt idx="29">
                  <c:v>-7433.6216052192358</c:v>
                </c:pt>
                <c:pt idx="30">
                  <c:v>-7187.4999999999964</c:v>
                </c:pt>
                <c:pt idx="31">
                  <c:v>-6949.1882009837318</c:v>
                </c:pt>
                <c:pt idx="32">
                  <c:v>-6718.4969225785517</c:v>
                </c:pt>
                <c:pt idx="33">
                  <c:v>-6495.2142578640833</c:v>
                </c:pt>
                <c:pt idx="34">
                  <c:v>-6279.1134485349321</c:v>
                </c:pt>
                <c:pt idx="35">
                  <c:v>-6069.9588477366215</c:v>
                </c:pt>
                <c:pt idx="36">
                  <c:v>-5867.510479164951</c:v>
                </c:pt>
                <c:pt idx="37">
                  <c:v>-5671.5275035396753</c:v>
                </c:pt>
                <c:pt idx="38">
                  <c:v>-5481.7708333333276</c:v>
                </c:pt>
                <c:pt idx="39">
                  <c:v>-5298.0050829161264</c:v>
                </c:pt>
                <c:pt idx="40">
                  <c:v>-5119.9999999999973</c:v>
                </c:pt>
                <c:pt idx="41">
                  <c:v>-4947.5314924124195</c:v>
                </c:pt>
                <c:pt idx="42">
                  <c:v>-4780.3823395539348</c:v>
                </c:pt>
                <c:pt idx="43">
                  <c:v>-4618.3426587048343</c:v>
                </c:pt>
                <c:pt idx="44">
                  <c:v>-4461.2101813747895</c:v>
                </c:pt>
                <c:pt idx="45">
                  <c:v>-4308.790383170548</c:v>
                </c:pt>
                <c:pt idx="46">
                  <c:v>-4160.8965014577261</c:v>
                </c:pt>
                <c:pt idx="47">
                  <c:v>-4017.349467852458</c:v>
                </c:pt>
                <c:pt idx="48">
                  <c:v>-3877.9777768666222</c:v>
                </c:pt>
                <c:pt idx="49">
                  <c:v>-3742.6173075144029</c:v>
                </c:pt>
                <c:pt idx="50">
                  <c:v>-3611.111111111114</c:v>
                </c:pt>
                <c:pt idx="51">
                  <c:v>-3483.3091756578765</c:v>
                </c:pt>
                <c:pt idx="52">
                  <c:v>-3359.0681749521691</c:v>
                </c:pt>
                <c:pt idx="53">
                  <c:v>-3238.2512087727532</c:v>
                </c:pt>
                <c:pt idx="54">
                  <c:v>-3120.7275390625027</c:v>
                </c:pt>
                <c:pt idx="55">
                  <c:v>-3006.3723258989576</c:v>
                </c:pt>
                <c:pt idx="56">
                  <c:v>-2895.0663661407498</c:v>
                </c:pt>
                <c:pt idx="57">
                  <c:v>-2786.6958369214349</c:v>
                </c:pt>
                <c:pt idx="58">
                  <c:v>-2681.1520455933282</c:v>
                </c:pt>
                <c:pt idx="59">
                  <c:v>-2578.3311872734134</c:v>
                </c:pt>
                <c:pt idx="60">
                  <c:v>-2478.1341107871772</c:v>
                </c:pt>
                <c:pt idx="61">
                  <c:v>-2380.4660935260495</c:v>
                </c:pt>
                <c:pt idx="62">
                  <c:v>-2285.2366255144088</c:v>
                </c:pt>
                <c:pt idx="63">
                  <c:v>-2192.3592028111939</c:v>
                </c:pt>
                <c:pt idx="64">
                  <c:v>-2101.7511302390831</c:v>
                </c:pt>
                <c:pt idx="65">
                  <c:v>-2013.3333333333394</c:v>
                </c:pt>
                <c:pt idx="66">
                  <c:v>-1927.0301793264384</c:v>
                </c:pt>
                <c:pt idx="67">
                  <c:v>-1842.769306928531</c:v>
                </c:pt>
                <c:pt idx="68">
                  <c:v>-1760.4814646234836</c:v>
                </c:pt>
                <c:pt idx="69">
                  <c:v>-1680.1003571725628</c:v>
                </c:pt>
                <c:pt idx="70">
                  <c:v>-1601.5625000000064</c:v>
                </c:pt>
                <c:pt idx="71">
                  <c:v>-1524.8070811247226</c:v>
                </c:pt>
                <c:pt idx="72">
                  <c:v>-1449.7758302984648</c:v>
                </c:pt>
                <c:pt idx="73">
                  <c:v>-1376.4128950116108</c:v>
                </c:pt>
                <c:pt idx="74">
                  <c:v>-1304.6647230320775</c:v>
                </c:pt>
                <c:pt idx="75">
                  <c:v>-1234.479951150018</c:v>
                </c:pt>
                <c:pt idx="76">
                  <c:v>-1165.8092998100872</c:v>
                </c:pt>
                <c:pt idx="77">
                  <c:v>-1098.6054733235915</c:v>
                </c:pt>
                <c:pt idx="78">
                  <c:v>-1032.8230653643952</c:v>
                </c:pt>
                <c:pt idx="79">
                  <c:v>-968.41846946462204</c:v>
                </c:pt>
                <c:pt idx="80">
                  <c:v>-905.34979423869083</c:v>
                </c:pt>
                <c:pt idx="81">
                  <c:v>-843.5767830768516</c:v>
                </c:pt>
                <c:pt idx="82">
                  <c:v>-783.0607380619789</c:v>
                </c:pt>
                <c:pt idx="83">
                  <c:v>-723.76444787576429</c:v>
                </c:pt>
                <c:pt idx="84">
                  <c:v>-665.65211947257217</c:v>
                </c:pt>
                <c:pt idx="85">
                  <c:v>-608.68931331098622</c:v>
                </c:pt>
                <c:pt idx="86">
                  <c:v>-552.8428819444523</c:v>
                </c:pt>
                <c:pt idx="87">
                  <c:v>-498.08091178330807</c:v>
                </c:pt>
                <c:pt idx="88">
                  <c:v>-444.37266785098882</c:v>
                </c:pt>
                <c:pt idx="89">
                  <c:v>-391.68854136715419</c:v>
                </c:pt>
                <c:pt idx="90">
                  <c:v>-340.00000000000847</c:v>
                </c:pt>
                <c:pt idx="91">
                  <c:v>-289.27954063910272</c:v>
                </c:pt>
                <c:pt idx="92">
                  <c:v>-239.50064454848518</c:v>
                </c:pt>
                <c:pt idx="93">
                  <c:v>-190.63773476816164</c:v>
                </c:pt>
                <c:pt idx="94">
                  <c:v>-142.6661356395166</c:v>
                </c:pt>
                <c:pt idx="95">
                  <c:v>-95.562034337552603</c:v>
                </c:pt>
                <c:pt idx="96">
                  <c:v>-49.302444299665076</c:v>
                </c:pt>
                <c:pt idx="97">
                  <c:v>-3.865170447086129</c:v>
                </c:pt>
                <c:pt idx="98">
                  <c:v>40.771223898787817</c:v>
                </c:pt>
                <c:pt idx="99">
                  <c:v>84.627448497283723</c:v>
                </c:pt>
                <c:pt idx="100">
                  <c:v>127.72351615325965</c:v>
                </c:pt>
              </c:numCache>
            </c:numRef>
          </c:val>
          <c:smooth val="0"/>
          <c:extLst>
            <c:ext xmlns:c16="http://schemas.microsoft.com/office/drawing/2014/chart" uri="{C3380CC4-5D6E-409C-BE32-E72D297353CC}">
              <c16:uniqueId val="{00000000-A564-4590-9D5E-A51049D51F08}"/>
            </c:ext>
          </c:extLst>
        </c:ser>
        <c:dLbls>
          <c:showLegendKey val="0"/>
          <c:showVal val="0"/>
          <c:showCatName val="0"/>
          <c:showSerName val="0"/>
          <c:showPercent val="0"/>
          <c:showBubbleSize val="0"/>
        </c:dLbls>
        <c:smooth val="0"/>
        <c:axId val="857808400"/>
        <c:axId val="1"/>
      </c:lineChart>
      <c:catAx>
        <c:axId val="857808400"/>
        <c:scaling>
          <c:orientation val="minMax"/>
        </c:scaling>
        <c:delete val="0"/>
        <c:axPos val="b"/>
        <c:title>
          <c:tx>
            <c:rich>
              <a:bodyPr/>
              <a:lstStyle/>
              <a:p>
                <a:pPr>
                  <a:defRPr/>
                </a:pPr>
                <a:r>
                  <a:rPr lang="en-US"/>
                  <a:t>Discount Rate (%)</a:t>
                </a:r>
              </a:p>
            </c:rich>
          </c:tx>
          <c:overlay val="0"/>
        </c:title>
        <c:numFmt formatCode="0.00%" sourceLinked="1"/>
        <c:majorTickMark val="out"/>
        <c:minorTickMark val="none"/>
        <c:tickLblPos val="low"/>
        <c:crossAx val="1"/>
        <c:crosses val="autoZero"/>
        <c:auto val="1"/>
        <c:lblAlgn val="ctr"/>
        <c:lblOffset val="100"/>
        <c:tickLblSkip val="50"/>
        <c:tickMarkSkip val="50"/>
        <c:noMultiLvlLbl val="0"/>
      </c:catAx>
      <c:valAx>
        <c:axId val="1"/>
        <c:scaling>
          <c:orientation val="minMax"/>
        </c:scaling>
        <c:delete val="0"/>
        <c:axPos val="l"/>
        <c:title>
          <c:tx>
            <c:rich>
              <a:bodyPr rot="-5400000" vert="horz"/>
              <a:lstStyle/>
              <a:p>
                <a:pPr>
                  <a:defRPr/>
                </a:pPr>
                <a:r>
                  <a:rPr lang="en-US"/>
                  <a:t>NPV ($k)</a:t>
                </a:r>
              </a:p>
            </c:rich>
          </c:tx>
          <c:overlay val="0"/>
        </c:title>
        <c:numFmt formatCode="_(#,##0,_);\(#,##0,\);_(&quot;-&quot;_)" sourceLinked="0"/>
        <c:majorTickMark val="out"/>
        <c:minorTickMark val="none"/>
        <c:tickLblPos val="nextTo"/>
        <c:crossAx val="857808400"/>
        <c:crosses val="autoZero"/>
        <c:crossBetween val="between"/>
      </c:valAx>
    </c:plotArea>
    <c:plotVisOnly val="0"/>
    <c:dispBlanksAs val="gap"/>
    <c:showDLblsOverMax val="0"/>
  </c:chart>
  <c:txPr>
    <a:bodyPr/>
    <a:lstStyle/>
    <a:p>
      <a:pPr>
        <a:defRPr>
          <a:solidFill>
            <a:srgbClr val="C00000"/>
          </a:solidFil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6</xdr:row>
      <xdr:rowOff>168378</xdr:rowOff>
    </xdr:from>
    <xdr:to>
      <xdr:col>6</xdr:col>
      <xdr:colOff>334433</xdr:colOff>
      <xdr:row>11</xdr:row>
      <xdr:rowOff>117475</xdr:rowOff>
    </xdr:to>
    <xdr:pic>
      <xdr:nvPicPr>
        <xdr:cNvPr id="2" name="Picture 1" descr="SP Logo 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7667" y="1533628"/>
          <a:ext cx="2048933" cy="7841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632460</xdr:colOff>
      <xdr:row>24</xdr:row>
      <xdr:rowOff>137160</xdr:rowOff>
    </xdr:from>
    <xdr:to>
      <xdr:col>15</xdr:col>
      <xdr:colOff>733428</xdr:colOff>
      <xdr:row>28</xdr:row>
      <xdr:rowOff>5747</xdr:rowOff>
    </xdr:to>
    <xdr:sp macro="" textlink="">
      <xdr:nvSpPr>
        <xdr:cNvPr id="2" name="Text Box 2">
          <a:extLst>
            <a:ext uri="{FF2B5EF4-FFF2-40B4-BE49-F238E27FC236}">
              <a16:creationId xmlns:a16="http://schemas.microsoft.com/office/drawing/2014/main" id="{420A5E25-AF91-4C3C-A82E-15AC6D04B3F7}"/>
            </a:ext>
          </a:extLst>
        </xdr:cNvPr>
        <xdr:cNvSpPr txBox="1">
          <a:spLocks noChangeArrowheads="1"/>
        </xdr:cNvSpPr>
      </xdr:nvSpPr>
      <xdr:spPr bwMode="auto">
        <a:xfrm>
          <a:off x="7185660" y="4030980"/>
          <a:ext cx="2558418" cy="447707"/>
        </a:xfrm>
        <a:prstGeom prst="rect">
          <a:avLst/>
        </a:prstGeom>
        <a:solidFill>
          <a:srgbClr val="FFFFE1"/>
        </a:solidFill>
        <a:ln w="9525">
          <a:solidFill>
            <a:srgbClr val="000000"/>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0" i="0" u="none" strike="noStrike" baseline="0">
              <a:solidFill>
                <a:srgbClr val="000000"/>
              </a:solidFill>
              <a:latin typeface="Tahoma"/>
              <a:cs typeface="Tahoma"/>
            </a:rPr>
            <a:t>Take care  when using IRR and XIRR.  They do not always provide the correct answer.  Here, the third IRR and second XIRR examples are incorrect.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32</xdr:row>
      <xdr:rowOff>0</xdr:rowOff>
    </xdr:from>
    <xdr:to>
      <xdr:col>13</xdr:col>
      <xdr:colOff>240030</xdr:colOff>
      <xdr:row>41</xdr:row>
      <xdr:rowOff>102870</xdr:rowOff>
    </xdr:to>
    <xdr:sp macro="" textlink="">
      <xdr:nvSpPr>
        <xdr:cNvPr id="2" name="Text Box 2">
          <a:extLst>
            <a:ext uri="{FF2B5EF4-FFF2-40B4-BE49-F238E27FC236}">
              <a16:creationId xmlns:a16="http://schemas.microsoft.com/office/drawing/2014/main" id="{8E9FDADA-0329-4500-9943-02A180288159}"/>
            </a:ext>
          </a:extLst>
        </xdr:cNvPr>
        <xdr:cNvSpPr txBox="1">
          <a:spLocks noChangeArrowheads="1"/>
        </xdr:cNvSpPr>
      </xdr:nvSpPr>
      <xdr:spPr bwMode="auto">
        <a:xfrm>
          <a:off x="5033010" y="5036820"/>
          <a:ext cx="2556510" cy="1405890"/>
        </a:xfrm>
        <a:prstGeom prst="rect">
          <a:avLst/>
        </a:prstGeom>
        <a:solidFill>
          <a:srgbClr val="FFFFE1"/>
        </a:solidFill>
        <a:ln w="9525">
          <a:solidFill>
            <a:srgbClr val="000000"/>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0" i="0" u="none" strike="noStrike" baseline="0">
              <a:solidFill>
                <a:srgbClr val="000000"/>
              </a:solidFill>
              <a:latin typeface="Tahoma"/>
              <a:cs typeface="Tahoma"/>
            </a:rPr>
            <a:t>When converting text to dates always try the </a:t>
          </a:r>
          <a:r>
            <a:rPr lang="en-AU" sz="800" b="1" i="0" u="none" strike="noStrike" baseline="0">
              <a:solidFill>
                <a:srgbClr val="000000"/>
              </a:solidFill>
              <a:latin typeface="Tahoma"/>
              <a:cs typeface="Tahoma"/>
            </a:rPr>
            <a:t>DATEVALUE</a:t>
          </a:r>
          <a:r>
            <a:rPr lang="en-AU" sz="800" b="0" i="0" u="none" strike="noStrike" baseline="0">
              <a:solidFill>
                <a:srgbClr val="000000"/>
              </a:solidFill>
              <a:latin typeface="Tahoma"/>
              <a:cs typeface="Tahoma"/>
            </a:rPr>
            <a:t> function first.</a:t>
          </a:r>
        </a:p>
        <a:p>
          <a:pPr algn="l" rtl="0">
            <a:defRPr sz="1000"/>
          </a:pPr>
          <a:endParaRPr lang="en-AU" sz="800" b="0" i="0" u="none" strike="noStrike" baseline="0">
            <a:solidFill>
              <a:srgbClr val="000000"/>
            </a:solidFill>
            <a:latin typeface="Tahoma"/>
            <a:cs typeface="Tahoma"/>
          </a:endParaRPr>
        </a:p>
        <a:p>
          <a:pPr algn="l" rtl="0">
            <a:defRPr sz="1000"/>
          </a:pPr>
          <a:r>
            <a:rPr lang="en-AU" sz="800" b="0" i="0" u="none" strike="noStrike" baseline="0">
              <a:solidFill>
                <a:srgbClr val="000000"/>
              </a:solidFill>
              <a:latin typeface="Tahoma"/>
              <a:cs typeface="Tahoma"/>
            </a:rPr>
            <a:t>In our example, it works (see cell G28) but this will not always be the case, so I have amended the dates in cells F33:F36 "longhand" to show the alternative, less transparent way works.</a:t>
          </a:r>
        </a:p>
        <a:p>
          <a:pPr algn="l" rtl="0">
            <a:defRPr sz="1000"/>
          </a:pPr>
          <a:endParaRPr lang="en-AU" sz="800" b="0" i="0" u="none" strike="noStrike" baseline="0">
            <a:solidFill>
              <a:srgbClr val="000000"/>
            </a:solidFill>
            <a:latin typeface="Tahoma"/>
            <a:cs typeface="Tahoma"/>
          </a:endParaRPr>
        </a:p>
        <a:p>
          <a:pPr algn="l" rtl="0">
            <a:defRPr sz="1000"/>
          </a:pPr>
          <a:r>
            <a:rPr lang="en-AU" sz="800" b="0" i="0" u="none" strike="noStrike" baseline="0">
              <a:solidFill>
                <a:srgbClr val="000000"/>
              </a:solidFill>
              <a:latin typeface="Tahoma"/>
              <a:cs typeface="Tahoma"/>
            </a:rPr>
            <a:t>Note also that cell G34 still contains a number stored as text, yet XIRR will work (unlike other functions).  It is </a:t>
          </a:r>
          <a:r>
            <a:rPr lang="en-AU" sz="800" b="1" i="0" u="sng" strike="noStrike" baseline="0">
              <a:solidFill>
                <a:srgbClr val="000000"/>
              </a:solidFill>
              <a:latin typeface="Tahoma"/>
              <a:cs typeface="Tahoma"/>
            </a:rPr>
            <a:t>always </a:t>
          </a:r>
          <a:r>
            <a:rPr lang="en-AU" sz="800" b="0" i="0" u="none" strike="noStrike" baseline="0">
              <a:solidFill>
                <a:srgbClr val="000000"/>
              </a:solidFill>
              <a:latin typeface="Tahoma"/>
              <a:cs typeface="Tahoma"/>
            </a:rPr>
            <a:t>safest to convert text to numbers first.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15</xdr:row>
      <xdr:rowOff>0</xdr:rowOff>
    </xdr:from>
    <xdr:to>
      <xdr:col>13</xdr:col>
      <xdr:colOff>241935</xdr:colOff>
      <xdr:row>18</xdr:row>
      <xdr:rowOff>127596</xdr:rowOff>
    </xdr:to>
    <xdr:sp macro="" textlink="">
      <xdr:nvSpPr>
        <xdr:cNvPr id="2" name="Text Box 2">
          <a:extLst>
            <a:ext uri="{FF2B5EF4-FFF2-40B4-BE49-F238E27FC236}">
              <a16:creationId xmlns:a16="http://schemas.microsoft.com/office/drawing/2014/main" id="{5C5738ED-1CB9-46CE-BFBC-406EE2090CDC}"/>
            </a:ext>
          </a:extLst>
        </xdr:cNvPr>
        <xdr:cNvSpPr txBox="1">
          <a:spLocks noChangeArrowheads="1"/>
        </xdr:cNvSpPr>
      </xdr:nvSpPr>
      <xdr:spPr bwMode="auto">
        <a:xfrm>
          <a:off x="4743450" y="2541270"/>
          <a:ext cx="2558415" cy="561936"/>
        </a:xfrm>
        <a:prstGeom prst="rect">
          <a:avLst/>
        </a:prstGeom>
        <a:solidFill>
          <a:srgbClr val="FFFFE1"/>
        </a:solidFill>
        <a:ln w="9525">
          <a:solidFill>
            <a:srgbClr val="000000"/>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0" i="0" u="none" strike="noStrike" baseline="0">
              <a:solidFill>
                <a:srgbClr val="000000"/>
              </a:solidFill>
              <a:latin typeface="Tahoma"/>
              <a:cs typeface="Tahoma"/>
            </a:rPr>
            <a:t>Watch out if you get an XIRR of 2.9802E-09.  It is generally held that XIRR could not obtain a result within 100 iterations and you need to provide a [better] guess if you see this value.</a:t>
          </a:r>
        </a:p>
      </xdr:txBody>
    </xdr:sp>
    <xdr:clientData/>
  </xdr:twoCellAnchor>
  <xdr:twoCellAnchor editAs="oneCell">
    <xdr:from>
      <xdr:col>9</xdr:col>
      <xdr:colOff>0</xdr:colOff>
      <xdr:row>30</xdr:row>
      <xdr:rowOff>0</xdr:rowOff>
    </xdr:from>
    <xdr:to>
      <xdr:col>13</xdr:col>
      <xdr:colOff>241935</xdr:colOff>
      <xdr:row>33</xdr:row>
      <xdr:rowOff>133350</xdr:rowOff>
    </xdr:to>
    <xdr:sp macro="" textlink="">
      <xdr:nvSpPr>
        <xdr:cNvPr id="3" name="Text Box 2">
          <a:extLst>
            <a:ext uri="{FF2B5EF4-FFF2-40B4-BE49-F238E27FC236}">
              <a16:creationId xmlns:a16="http://schemas.microsoft.com/office/drawing/2014/main" id="{1BBA9940-8E1A-4B28-9E93-D351C0AB5341}"/>
            </a:ext>
          </a:extLst>
        </xdr:cNvPr>
        <xdr:cNvSpPr txBox="1">
          <a:spLocks noChangeArrowheads="1"/>
        </xdr:cNvSpPr>
      </xdr:nvSpPr>
      <xdr:spPr bwMode="auto">
        <a:xfrm>
          <a:off x="4743450" y="4747260"/>
          <a:ext cx="2558415" cy="567690"/>
        </a:xfrm>
        <a:prstGeom prst="rect">
          <a:avLst/>
        </a:prstGeom>
        <a:solidFill>
          <a:srgbClr val="FFFFE1"/>
        </a:solidFill>
        <a:ln w="9525">
          <a:solidFill>
            <a:srgbClr val="000000"/>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0" i="0" u="none" strike="noStrike" baseline="0">
              <a:solidFill>
                <a:srgbClr val="000000"/>
              </a:solidFill>
              <a:latin typeface="Tahoma"/>
              <a:cs typeface="Tahoma"/>
            </a:rPr>
            <a:t>What could be a better guess than using the answer as solved by IRR?  </a:t>
          </a:r>
          <a:br>
            <a:rPr lang="en-AU" sz="800" b="0" i="0" u="none" strike="noStrike" baseline="0">
              <a:solidFill>
                <a:srgbClr val="000000"/>
              </a:solidFill>
              <a:latin typeface="Tahoma"/>
              <a:cs typeface="Tahoma"/>
            </a:rPr>
          </a:br>
          <a:br>
            <a:rPr lang="en-AU" sz="800" b="0" i="0" u="none" strike="noStrike" baseline="0">
              <a:solidFill>
                <a:srgbClr val="000000"/>
              </a:solidFill>
              <a:latin typeface="Tahoma"/>
              <a:cs typeface="Tahoma"/>
            </a:rPr>
          </a:br>
          <a:r>
            <a:rPr lang="en-AU" sz="800" b="0" i="0" u="none" strike="noStrike" baseline="0">
              <a:solidFill>
                <a:srgbClr val="000000"/>
              </a:solidFill>
              <a:latin typeface="Tahoma"/>
              <a:cs typeface="Tahoma"/>
            </a:rPr>
            <a:t>Erm, doesn't work though...</a:t>
          </a:r>
        </a:p>
      </xdr:txBody>
    </xdr:sp>
    <xdr:clientData/>
  </xdr:twoCellAnchor>
  <xdr:twoCellAnchor editAs="oneCell">
    <xdr:from>
      <xdr:col>9</xdr:col>
      <xdr:colOff>0</xdr:colOff>
      <xdr:row>45</xdr:row>
      <xdr:rowOff>0</xdr:rowOff>
    </xdr:from>
    <xdr:to>
      <xdr:col>13</xdr:col>
      <xdr:colOff>241935</xdr:colOff>
      <xdr:row>48</xdr:row>
      <xdr:rowOff>133350</xdr:rowOff>
    </xdr:to>
    <xdr:sp macro="" textlink="">
      <xdr:nvSpPr>
        <xdr:cNvPr id="4" name="Text Box 2">
          <a:extLst>
            <a:ext uri="{FF2B5EF4-FFF2-40B4-BE49-F238E27FC236}">
              <a16:creationId xmlns:a16="http://schemas.microsoft.com/office/drawing/2014/main" id="{D0F3C333-432B-4102-8DB7-D447FE575DA6}"/>
            </a:ext>
          </a:extLst>
        </xdr:cNvPr>
        <xdr:cNvSpPr txBox="1">
          <a:spLocks noChangeArrowheads="1"/>
        </xdr:cNvSpPr>
      </xdr:nvSpPr>
      <xdr:spPr bwMode="auto">
        <a:xfrm>
          <a:off x="4743450" y="6953250"/>
          <a:ext cx="2558415" cy="567690"/>
        </a:xfrm>
        <a:prstGeom prst="rect">
          <a:avLst/>
        </a:prstGeom>
        <a:solidFill>
          <a:srgbClr val="FFFFE1"/>
        </a:solidFill>
        <a:ln w="9525">
          <a:solidFill>
            <a:srgbClr val="000000"/>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0" i="0" u="none" strike="noStrike" baseline="0">
              <a:solidFill>
                <a:srgbClr val="000000"/>
              </a:solidFill>
              <a:latin typeface="Tahoma"/>
              <a:cs typeface="Tahoma"/>
            </a:rPr>
            <a:t>Maybe the problem is using a cell reference...</a:t>
          </a:r>
        </a:p>
        <a:p>
          <a:pPr algn="l" rtl="0">
            <a:defRPr sz="1000"/>
          </a:pPr>
          <a:r>
            <a:rPr lang="en-AU" sz="800" b="0" i="0" u="none" strike="noStrike" baseline="0">
              <a:solidFill>
                <a:srgbClr val="000000"/>
              </a:solidFill>
              <a:latin typeface="Tahoma"/>
              <a:cs typeface="Tahoma"/>
            </a:rPr>
            <a:t>What if we use the hard coded amount instead?</a:t>
          </a:r>
          <a:br>
            <a:rPr lang="en-AU" sz="800" b="0" i="0" u="none" strike="noStrike" baseline="0">
              <a:solidFill>
                <a:srgbClr val="000000"/>
              </a:solidFill>
              <a:latin typeface="Tahoma"/>
              <a:cs typeface="Tahoma"/>
            </a:rPr>
          </a:br>
          <a:br>
            <a:rPr lang="en-AU" sz="800" b="0" i="0" u="none" strike="noStrike" baseline="0">
              <a:solidFill>
                <a:srgbClr val="000000"/>
              </a:solidFill>
              <a:latin typeface="Tahoma"/>
              <a:cs typeface="Tahoma"/>
            </a:rPr>
          </a:br>
          <a:r>
            <a:rPr lang="en-AU" sz="800" b="0" i="0" u="none" strike="noStrike" baseline="0">
              <a:solidFill>
                <a:srgbClr val="000000"/>
              </a:solidFill>
              <a:latin typeface="Tahoma"/>
              <a:cs typeface="Tahoma"/>
            </a:rPr>
            <a:t>Nope...</a:t>
          </a:r>
        </a:p>
      </xdr:txBody>
    </xdr:sp>
    <xdr:clientData/>
  </xdr:twoCellAnchor>
  <xdr:twoCellAnchor editAs="oneCell">
    <xdr:from>
      <xdr:col>9</xdr:col>
      <xdr:colOff>0</xdr:colOff>
      <xdr:row>61</xdr:row>
      <xdr:rowOff>0</xdr:rowOff>
    </xdr:from>
    <xdr:to>
      <xdr:col>13</xdr:col>
      <xdr:colOff>241935</xdr:colOff>
      <xdr:row>66</xdr:row>
      <xdr:rowOff>106681</xdr:rowOff>
    </xdr:to>
    <xdr:sp macro="" textlink="">
      <xdr:nvSpPr>
        <xdr:cNvPr id="5" name="Text Box 2">
          <a:extLst>
            <a:ext uri="{FF2B5EF4-FFF2-40B4-BE49-F238E27FC236}">
              <a16:creationId xmlns:a16="http://schemas.microsoft.com/office/drawing/2014/main" id="{B15A9751-2B97-4D4D-8F35-BB2EAF4AA0C6}"/>
            </a:ext>
          </a:extLst>
        </xdr:cNvPr>
        <xdr:cNvSpPr txBox="1">
          <a:spLocks noChangeArrowheads="1"/>
        </xdr:cNvSpPr>
      </xdr:nvSpPr>
      <xdr:spPr bwMode="auto">
        <a:xfrm>
          <a:off x="4743450" y="9304020"/>
          <a:ext cx="2558415" cy="830581"/>
        </a:xfrm>
        <a:prstGeom prst="rect">
          <a:avLst/>
        </a:prstGeom>
        <a:solidFill>
          <a:srgbClr val="FFFFE1"/>
        </a:solidFill>
        <a:ln w="9525">
          <a:solidFill>
            <a:srgbClr val="000000"/>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0" i="0" u="none" strike="noStrike" baseline="0">
              <a:solidFill>
                <a:srgbClr val="000000"/>
              </a:solidFill>
              <a:latin typeface="Tahoma"/>
              <a:cs typeface="Tahoma"/>
            </a:rPr>
            <a:t>Putting an approximate guess - close to the solution - is much more interesting...</a:t>
          </a:r>
        </a:p>
        <a:p>
          <a:pPr algn="l" rtl="0">
            <a:defRPr sz="1000"/>
          </a:pPr>
          <a:endParaRPr lang="en-AU" sz="800" b="0" i="0" u="none" strike="noStrike" baseline="0">
            <a:solidFill>
              <a:srgbClr val="000000"/>
            </a:solidFill>
            <a:latin typeface="Tahoma"/>
            <a:cs typeface="Tahoma"/>
          </a:endParaRPr>
        </a:p>
        <a:p>
          <a:pPr algn="l" rtl="0">
            <a:defRPr sz="1000"/>
          </a:pPr>
          <a:r>
            <a:rPr lang="en-AU" sz="800" b="0" i="0" u="none" strike="noStrike" baseline="0">
              <a:solidFill>
                <a:srgbClr val="000000"/>
              </a:solidFill>
              <a:latin typeface="Tahoma"/>
              <a:cs typeface="Tahoma"/>
            </a:rPr>
            <a:t>You get the OTHER solution (see chart above)...</a:t>
          </a:r>
        </a:p>
        <a:p>
          <a:pPr algn="l" rtl="0">
            <a:defRPr sz="1000"/>
          </a:pPr>
          <a:endParaRPr lang="en-AU" sz="800" b="0" i="0" u="none" strike="noStrike" baseline="0">
            <a:solidFill>
              <a:srgbClr val="000000"/>
            </a:solidFill>
            <a:latin typeface="Tahoma"/>
            <a:cs typeface="Tahoma"/>
          </a:endParaRPr>
        </a:p>
        <a:p>
          <a:pPr algn="l" rtl="0">
            <a:defRPr sz="1000"/>
          </a:pPr>
          <a:r>
            <a:rPr lang="en-AU" sz="800" b="0" i="0" u="none" strike="noStrike" baseline="0">
              <a:solidFill>
                <a:srgbClr val="000000"/>
              </a:solidFill>
              <a:latin typeface="Tahoma"/>
              <a:cs typeface="Tahoma"/>
            </a:rPr>
            <a:t>Now which value do you want..?</a:t>
          </a:r>
        </a:p>
      </xdr:txBody>
    </xdr:sp>
    <xdr:clientData/>
  </xdr:twoCellAnchor>
  <xdr:twoCellAnchor>
    <xdr:from>
      <xdr:col>15</xdr:col>
      <xdr:colOff>0</xdr:colOff>
      <xdr:row>12</xdr:row>
      <xdr:rowOff>0</xdr:rowOff>
    </xdr:from>
    <xdr:to>
      <xdr:col>22</xdr:col>
      <xdr:colOff>502920</xdr:colOff>
      <xdr:row>28</xdr:row>
      <xdr:rowOff>137160</xdr:rowOff>
    </xdr:to>
    <xdr:graphicFrame macro="">
      <xdr:nvGraphicFramePr>
        <xdr:cNvPr id="6" name="Chart 19">
          <a:extLst>
            <a:ext uri="{FF2B5EF4-FFF2-40B4-BE49-F238E27FC236}">
              <a16:creationId xmlns:a16="http://schemas.microsoft.com/office/drawing/2014/main" id="{901D0004-3690-4233-9F34-DE5A012D0C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15</xdr:row>
      <xdr:rowOff>0</xdr:rowOff>
    </xdr:from>
    <xdr:to>
      <xdr:col>13</xdr:col>
      <xdr:colOff>241935</xdr:colOff>
      <xdr:row>18</xdr:row>
      <xdr:rowOff>97155</xdr:rowOff>
    </xdr:to>
    <xdr:sp macro="" textlink="">
      <xdr:nvSpPr>
        <xdr:cNvPr id="2" name="Text Box 2">
          <a:extLst>
            <a:ext uri="{FF2B5EF4-FFF2-40B4-BE49-F238E27FC236}">
              <a16:creationId xmlns:a16="http://schemas.microsoft.com/office/drawing/2014/main" id="{19A96804-504B-45F1-B5C0-959C6DB95FDF}"/>
            </a:ext>
          </a:extLst>
        </xdr:cNvPr>
        <xdr:cNvSpPr txBox="1">
          <a:spLocks noChangeArrowheads="1"/>
        </xdr:cNvSpPr>
      </xdr:nvSpPr>
      <xdr:spPr bwMode="auto">
        <a:xfrm>
          <a:off x="4697730" y="2541270"/>
          <a:ext cx="2558415" cy="565785"/>
        </a:xfrm>
        <a:prstGeom prst="rect">
          <a:avLst/>
        </a:prstGeom>
        <a:solidFill>
          <a:srgbClr val="FFFFE1"/>
        </a:solidFill>
        <a:ln w="9525">
          <a:solidFill>
            <a:srgbClr val="000000"/>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0" i="0" u="none" strike="noStrike" baseline="0">
              <a:solidFill>
                <a:srgbClr val="000000"/>
              </a:solidFill>
              <a:latin typeface="Tahoma"/>
              <a:cs typeface="Tahoma"/>
            </a:rPr>
            <a:t>The problem with this example from the last worksheet is partly to do with the fact that the first cashflow is positive rather than negative</a:t>
          </a:r>
        </a:p>
      </xdr:txBody>
    </xdr:sp>
    <xdr:clientData/>
  </xdr:twoCellAnchor>
  <xdr:twoCellAnchor editAs="oneCell">
    <xdr:from>
      <xdr:col>9</xdr:col>
      <xdr:colOff>0</xdr:colOff>
      <xdr:row>31</xdr:row>
      <xdr:rowOff>0</xdr:rowOff>
    </xdr:from>
    <xdr:to>
      <xdr:col>13</xdr:col>
      <xdr:colOff>241935</xdr:colOff>
      <xdr:row>36</xdr:row>
      <xdr:rowOff>121921</xdr:rowOff>
    </xdr:to>
    <xdr:sp macro="" textlink="">
      <xdr:nvSpPr>
        <xdr:cNvPr id="3" name="Text Box 2">
          <a:extLst>
            <a:ext uri="{FF2B5EF4-FFF2-40B4-BE49-F238E27FC236}">
              <a16:creationId xmlns:a16="http://schemas.microsoft.com/office/drawing/2014/main" id="{561EFD62-5084-4FE0-B267-5BEB1FC9E7A0}"/>
            </a:ext>
          </a:extLst>
        </xdr:cNvPr>
        <xdr:cNvSpPr txBox="1">
          <a:spLocks noChangeArrowheads="1"/>
        </xdr:cNvSpPr>
      </xdr:nvSpPr>
      <xdr:spPr bwMode="auto">
        <a:xfrm>
          <a:off x="4697730" y="4937760"/>
          <a:ext cx="2558415" cy="845821"/>
        </a:xfrm>
        <a:prstGeom prst="rect">
          <a:avLst/>
        </a:prstGeom>
        <a:solidFill>
          <a:srgbClr val="FFFFE1"/>
        </a:solidFill>
        <a:ln w="9525">
          <a:solidFill>
            <a:srgbClr val="000000"/>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0" i="0" u="none" strike="noStrike" baseline="0">
              <a:solidFill>
                <a:srgbClr val="000000"/>
              </a:solidFill>
              <a:latin typeface="Tahoma"/>
              <a:cs typeface="Tahoma"/>
            </a:rPr>
            <a:t>As long as the periodicity is retained intact, this should not affect the IRR significantly.</a:t>
          </a:r>
        </a:p>
        <a:p>
          <a:pPr algn="l" rtl="0">
            <a:defRPr sz="1000"/>
          </a:pPr>
          <a:endParaRPr lang="en-AU" sz="800" b="0" i="0" u="none" strike="noStrike" baseline="0">
            <a:solidFill>
              <a:srgbClr val="000000"/>
            </a:solidFill>
            <a:latin typeface="Tahoma"/>
            <a:cs typeface="Tahoma"/>
          </a:endParaRPr>
        </a:p>
        <a:p>
          <a:pPr algn="l" rtl="0">
            <a:defRPr sz="1000"/>
          </a:pPr>
          <a:r>
            <a:rPr lang="en-AU" sz="800" b="0" i="0" u="none" strike="noStrike" baseline="0">
              <a:solidFill>
                <a:srgbClr val="000000"/>
              </a:solidFill>
              <a:latin typeface="Tahoma"/>
              <a:cs typeface="Tahoma"/>
            </a:rPr>
            <a:t>Although it seems to work better than guessing, note that the second IRR (recognised on the last worksheet) is no longer identified.</a:t>
          </a:r>
        </a:p>
      </xdr:txBody>
    </xdr:sp>
    <xdr:clientData/>
  </xdr:twoCellAnchor>
  <xdr:twoCellAnchor>
    <xdr:from>
      <xdr:col>14</xdr:col>
      <xdr:colOff>0</xdr:colOff>
      <xdr:row>11</xdr:row>
      <xdr:rowOff>0</xdr:rowOff>
    </xdr:from>
    <xdr:to>
      <xdr:col>21</xdr:col>
      <xdr:colOff>502920</xdr:colOff>
      <xdr:row>27</xdr:row>
      <xdr:rowOff>125730</xdr:rowOff>
    </xdr:to>
    <xdr:graphicFrame macro="">
      <xdr:nvGraphicFramePr>
        <xdr:cNvPr id="4" name="Chart 19">
          <a:extLst>
            <a:ext uri="{FF2B5EF4-FFF2-40B4-BE49-F238E27FC236}">
              <a16:creationId xmlns:a16="http://schemas.microsoft.com/office/drawing/2014/main" id="{A83FCC2E-CA87-4CA5-8B95-CD12BDCD22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0</xdr:colOff>
      <xdr:row>14</xdr:row>
      <xdr:rowOff>0</xdr:rowOff>
    </xdr:from>
    <xdr:to>
      <xdr:col>13</xdr:col>
      <xdr:colOff>241935</xdr:colOff>
      <xdr:row>15</xdr:row>
      <xdr:rowOff>135305</xdr:rowOff>
    </xdr:to>
    <xdr:sp macro="" textlink="">
      <xdr:nvSpPr>
        <xdr:cNvPr id="2" name="Text Box 2">
          <a:extLst>
            <a:ext uri="{FF2B5EF4-FFF2-40B4-BE49-F238E27FC236}">
              <a16:creationId xmlns:a16="http://schemas.microsoft.com/office/drawing/2014/main" id="{86158F27-9BCB-4013-8092-33B904D9B54F}"/>
            </a:ext>
          </a:extLst>
        </xdr:cNvPr>
        <xdr:cNvSpPr txBox="1">
          <a:spLocks noChangeArrowheads="1"/>
        </xdr:cNvSpPr>
      </xdr:nvSpPr>
      <xdr:spPr bwMode="auto">
        <a:xfrm>
          <a:off x="4549140" y="2396490"/>
          <a:ext cx="2558415" cy="280085"/>
        </a:xfrm>
        <a:prstGeom prst="rect">
          <a:avLst/>
        </a:prstGeom>
        <a:solidFill>
          <a:srgbClr val="FFFFE1"/>
        </a:solidFill>
        <a:ln w="9525">
          <a:solidFill>
            <a:srgbClr val="000000"/>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0" i="0" u="none" strike="noStrike" baseline="0">
              <a:solidFill>
                <a:srgbClr val="000000"/>
              </a:solidFill>
              <a:latin typeface="Tahoma"/>
              <a:cs typeface="Tahoma"/>
            </a:rPr>
            <a:t>Original example again.</a:t>
          </a:r>
        </a:p>
      </xdr:txBody>
    </xdr:sp>
    <xdr:clientData/>
  </xdr:twoCellAnchor>
  <xdr:twoCellAnchor editAs="oneCell">
    <xdr:from>
      <xdr:col>9</xdr:col>
      <xdr:colOff>0</xdr:colOff>
      <xdr:row>29</xdr:row>
      <xdr:rowOff>0</xdr:rowOff>
    </xdr:from>
    <xdr:to>
      <xdr:col>13</xdr:col>
      <xdr:colOff>241935</xdr:colOff>
      <xdr:row>36</xdr:row>
      <xdr:rowOff>22861</xdr:rowOff>
    </xdr:to>
    <xdr:sp macro="" textlink="">
      <xdr:nvSpPr>
        <xdr:cNvPr id="3" name="Text Box 2">
          <a:extLst>
            <a:ext uri="{FF2B5EF4-FFF2-40B4-BE49-F238E27FC236}">
              <a16:creationId xmlns:a16="http://schemas.microsoft.com/office/drawing/2014/main" id="{59FEDE51-4AE5-4A61-B862-2BA55423AAB2}"/>
            </a:ext>
          </a:extLst>
        </xdr:cNvPr>
        <xdr:cNvSpPr txBox="1">
          <a:spLocks noChangeArrowheads="1"/>
        </xdr:cNvSpPr>
      </xdr:nvSpPr>
      <xdr:spPr bwMode="auto">
        <a:xfrm>
          <a:off x="4549140" y="4602480"/>
          <a:ext cx="2558415" cy="1036321"/>
        </a:xfrm>
        <a:prstGeom prst="rect">
          <a:avLst/>
        </a:prstGeom>
        <a:solidFill>
          <a:srgbClr val="FFFFE1"/>
        </a:solidFill>
        <a:ln w="9525">
          <a:solidFill>
            <a:srgbClr val="000000"/>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0" i="0" u="none" strike="noStrike" baseline="0">
              <a:solidFill>
                <a:srgbClr val="000000"/>
              </a:solidFill>
              <a:latin typeface="Tahoma"/>
              <a:cs typeface="Tahoma"/>
            </a:rPr>
            <a:t>Even with the dates mixed up, having the negative first gets the right answer for XIRR.</a:t>
          </a:r>
        </a:p>
        <a:p>
          <a:pPr algn="l" rtl="0">
            <a:defRPr sz="1000"/>
          </a:pPr>
          <a:endParaRPr lang="en-AU" sz="800" b="0" i="0" u="none" strike="noStrike" baseline="0">
            <a:solidFill>
              <a:srgbClr val="000000"/>
            </a:solidFill>
            <a:latin typeface="Tahoma"/>
            <a:cs typeface="Tahoma"/>
          </a:endParaRPr>
        </a:p>
        <a:p>
          <a:pPr algn="l" rtl="0">
            <a:defRPr sz="1000"/>
          </a:pPr>
          <a:r>
            <a:rPr lang="en-AU" sz="800" b="0" i="0" u="none" strike="noStrike" baseline="0">
              <a:solidFill>
                <a:srgbClr val="000000"/>
              </a:solidFill>
              <a:latin typeface="Tahoma"/>
              <a:cs typeface="Tahoma"/>
            </a:rPr>
            <a:t>Obviously, IRR will not work as dates are not taken into account.</a:t>
          </a:r>
        </a:p>
        <a:p>
          <a:pPr algn="l" rtl="0">
            <a:defRPr sz="1000"/>
          </a:pPr>
          <a:endParaRPr lang="en-AU" sz="800" b="0" i="0" u="none" strike="noStrike" baseline="0">
            <a:solidFill>
              <a:srgbClr val="000000"/>
            </a:solidFill>
            <a:latin typeface="Tahoma"/>
            <a:cs typeface="Tahoma"/>
          </a:endParaRPr>
        </a:p>
        <a:p>
          <a:pPr algn="l" rtl="0">
            <a:defRPr sz="1000"/>
          </a:pPr>
          <a:r>
            <a:rPr lang="en-AU" sz="800" b="0" i="0" u="none" strike="noStrike" baseline="0">
              <a:solidFill>
                <a:srgbClr val="000000"/>
              </a:solidFill>
              <a:latin typeface="Tahoma"/>
              <a:cs typeface="Tahoma"/>
            </a:rPr>
            <a:t>Note XNPV requires the first date to be the start date (which is not the case here).</a:t>
          </a:r>
        </a:p>
        <a:p>
          <a:pPr algn="l" rtl="0">
            <a:defRPr sz="1000"/>
          </a:pPr>
          <a:endParaRPr lang="en-AU" sz="800" b="0" i="0" u="none" strike="noStrike" baseline="0">
            <a:solidFill>
              <a:srgbClr val="000000"/>
            </a:solidFill>
            <a:latin typeface="Tahoma"/>
            <a:cs typeface="Tahoma"/>
          </a:endParaRPr>
        </a:p>
      </xdr:txBody>
    </xdr:sp>
    <xdr:clientData/>
  </xdr:twoCellAnchor>
  <xdr:twoCellAnchor editAs="oneCell">
    <xdr:from>
      <xdr:col>9</xdr:col>
      <xdr:colOff>0</xdr:colOff>
      <xdr:row>44</xdr:row>
      <xdr:rowOff>0</xdr:rowOff>
    </xdr:from>
    <xdr:to>
      <xdr:col>13</xdr:col>
      <xdr:colOff>241935</xdr:colOff>
      <xdr:row>50</xdr:row>
      <xdr:rowOff>95281</xdr:rowOff>
    </xdr:to>
    <xdr:sp macro="" textlink="">
      <xdr:nvSpPr>
        <xdr:cNvPr id="4" name="Text Box 2">
          <a:extLst>
            <a:ext uri="{FF2B5EF4-FFF2-40B4-BE49-F238E27FC236}">
              <a16:creationId xmlns:a16="http://schemas.microsoft.com/office/drawing/2014/main" id="{B40BA601-58A2-40D3-8BD5-97AFB166E24D}"/>
            </a:ext>
          </a:extLst>
        </xdr:cNvPr>
        <xdr:cNvSpPr txBox="1">
          <a:spLocks noChangeArrowheads="1"/>
        </xdr:cNvSpPr>
      </xdr:nvSpPr>
      <xdr:spPr bwMode="auto">
        <a:xfrm>
          <a:off x="4549140" y="6808470"/>
          <a:ext cx="2558415" cy="963961"/>
        </a:xfrm>
        <a:prstGeom prst="rect">
          <a:avLst/>
        </a:prstGeom>
        <a:solidFill>
          <a:srgbClr val="FFFFE1"/>
        </a:solidFill>
        <a:ln w="9525">
          <a:solidFill>
            <a:srgbClr val="000000"/>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0" i="0" u="none" strike="noStrike" baseline="0">
              <a:solidFill>
                <a:srgbClr val="000000"/>
              </a:solidFill>
              <a:latin typeface="Tahoma"/>
              <a:cs typeface="Tahoma"/>
            </a:rPr>
            <a:t>However, this mixing up of data can only be pushed so far as this example demonstrates.</a:t>
          </a:r>
        </a:p>
        <a:p>
          <a:pPr algn="l" rtl="0">
            <a:defRPr sz="1000"/>
          </a:pPr>
          <a:endParaRPr lang="en-AU" sz="800" b="0" i="0" u="none" strike="noStrike" baseline="0">
            <a:solidFill>
              <a:srgbClr val="000000"/>
            </a:solidFill>
            <a:latin typeface="Tahoma"/>
            <a:cs typeface="Tahoma"/>
          </a:endParaRPr>
        </a:p>
        <a:p>
          <a:pPr algn="l" rtl="0">
            <a:defRPr sz="1000"/>
          </a:pPr>
          <a:r>
            <a:rPr lang="en-AU" sz="800" b="0" i="0" u="none" strike="noStrike" baseline="0">
              <a:solidFill>
                <a:srgbClr val="000000"/>
              </a:solidFill>
              <a:latin typeface="Tahoma"/>
              <a:cs typeface="Tahoma"/>
            </a:rPr>
            <a:t>According to the documentation, the first date is supposed to be the start date.  Other data can then be entered in any order as long as the dates are later than the first date.</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0</xdr:colOff>
      <xdr:row>16</xdr:row>
      <xdr:rowOff>0</xdr:rowOff>
    </xdr:from>
    <xdr:to>
      <xdr:col>13</xdr:col>
      <xdr:colOff>243840</xdr:colOff>
      <xdr:row>19</xdr:row>
      <xdr:rowOff>19050</xdr:rowOff>
    </xdr:to>
    <xdr:sp macro="" textlink="">
      <xdr:nvSpPr>
        <xdr:cNvPr id="2" name="Text Box 2">
          <a:extLst>
            <a:ext uri="{FF2B5EF4-FFF2-40B4-BE49-F238E27FC236}">
              <a16:creationId xmlns:a16="http://schemas.microsoft.com/office/drawing/2014/main" id="{4FAB1A47-A155-409A-A2FD-EEC91E2F88B1}"/>
            </a:ext>
          </a:extLst>
        </xdr:cNvPr>
        <xdr:cNvSpPr txBox="1">
          <a:spLocks noChangeArrowheads="1"/>
        </xdr:cNvSpPr>
      </xdr:nvSpPr>
      <xdr:spPr bwMode="auto">
        <a:xfrm>
          <a:off x="4629150" y="2686050"/>
          <a:ext cx="2560320" cy="453390"/>
        </a:xfrm>
        <a:prstGeom prst="rect">
          <a:avLst/>
        </a:prstGeom>
        <a:solidFill>
          <a:srgbClr val="FFFFE1"/>
        </a:solidFill>
        <a:ln w="9525">
          <a:solidFill>
            <a:srgbClr val="000000"/>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0" i="0" u="none" strike="noStrike" baseline="0">
              <a:solidFill>
                <a:srgbClr val="000000"/>
              </a:solidFill>
              <a:latin typeface="Tahoma"/>
              <a:cs typeface="Tahoma"/>
            </a:rPr>
            <a:t>This start date is deliberately calculated as  midnight on 1 January of the next non-leap year (to avoid additional comparison issues)</a:t>
          </a:r>
        </a:p>
      </xdr:txBody>
    </xdr:sp>
    <xdr:clientData/>
  </xdr:twoCellAnchor>
  <xdr:twoCellAnchor editAs="oneCell">
    <xdr:from>
      <xdr:col>9</xdr:col>
      <xdr:colOff>0</xdr:colOff>
      <xdr:row>21</xdr:row>
      <xdr:rowOff>45720</xdr:rowOff>
    </xdr:from>
    <xdr:to>
      <xdr:col>13</xdr:col>
      <xdr:colOff>243840</xdr:colOff>
      <xdr:row>23</xdr:row>
      <xdr:rowOff>76200</xdr:rowOff>
    </xdr:to>
    <xdr:sp macro="" textlink="">
      <xdr:nvSpPr>
        <xdr:cNvPr id="3" name="Text Box 2">
          <a:extLst>
            <a:ext uri="{FF2B5EF4-FFF2-40B4-BE49-F238E27FC236}">
              <a16:creationId xmlns:a16="http://schemas.microsoft.com/office/drawing/2014/main" id="{A69BCC16-08ED-4A67-8D86-ECA1E1E88929}"/>
            </a:ext>
          </a:extLst>
        </xdr:cNvPr>
        <xdr:cNvSpPr txBox="1">
          <a:spLocks noChangeArrowheads="1"/>
        </xdr:cNvSpPr>
      </xdr:nvSpPr>
      <xdr:spPr bwMode="auto">
        <a:xfrm>
          <a:off x="4629150" y="3455670"/>
          <a:ext cx="2560320" cy="320040"/>
        </a:xfrm>
        <a:prstGeom prst="rect">
          <a:avLst/>
        </a:prstGeom>
        <a:solidFill>
          <a:srgbClr val="FFFFE1"/>
        </a:solidFill>
        <a:ln w="9525">
          <a:solidFill>
            <a:srgbClr val="000000"/>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0" i="0" u="none" strike="noStrike" baseline="0">
              <a:solidFill>
                <a:srgbClr val="000000"/>
              </a:solidFill>
              <a:latin typeface="Tahoma"/>
              <a:cs typeface="Tahoma"/>
            </a:rPr>
            <a:t>Used to verify the gap between start and end dates is precisely 365 days.</a:t>
          </a:r>
        </a:p>
      </xdr:txBody>
    </xdr:sp>
    <xdr:clientData/>
  </xdr:twoCellAnchor>
  <xdr:twoCellAnchor editAs="oneCell">
    <xdr:from>
      <xdr:col>9</xdr:col>
      <xdr:colOff>0</xdr:colOff>
      <xdr:row>27</xdr:row>
      <xdr:rowOff>0</xdr:rowOff>
    </xdr:from>
    <xdr:to>
      <xdr:col>13</xdr:col>
      <xdr:colOff>243840</xdr:colOff>
      <xdr:row>32</xdr:row>
      <xdr:rowOff>139065</xdr:rowOff>
    </xdr:to>
    <xdr:sp macro="" textlink="">
      <xdr:nvSpPr>
        <xdr:cNvPr id="4" name="Text Box 2">
          <a:extLst>
            <a:ext uri="{FF2B5EF4-FFF2-40B4-BE49-F238E27FC236}">
              <a16:creationId xmlns:a16="http://schemas.microsoft.com/office/drawing/2014/main" id="{49DD7EA3-B1B9-40D6-8D57-403FA86E754D}"/>
            </a:ext>
          </a:extLst>
        </xdr:cNvPr>
        <xdr:cNvSpPr txBox="1">
          <a:spLocks noChangeArrowheads="1"/>
        </xdr:cNvSpPr>
      </xdr:nvSpPr>
      <xdr:spPr bwMode="auto">
        <a:xfrm>
          <a:off x="4629150" y="4278630"/>
          <a:ext cx="2560320" cy="862965"/>
        </a:xfrm>
        <a:prstGeom prst="rect">
          <a:avLst/>
        </a:prstGeom>
        <a:solidFill>
          <a:srgbClr val="FFFFE1"/>
        </a:solidFill>
        <a:ln w="9525">
          <a:solidFill>
            <a:srgbClr val="000000"/>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0" i="0" u="none" strike="noStrike" baseline="0">
              <a:solidFill>
                <a:srgbClr val="000000"/>
              </a:solidFill>
              <a:latin typeface="Tahoma"/>
              <a:cs typeface="Tahoma"/>
            </a:rPr>
            <a:t>XIRR gives a closer approximation to the Internal Rate of Return according to XNPV.</a:t>
          </a:r>
        </a:p>
        <a:p>
          <a:pPr algn="l" rtl="0">
            <a:defRPr sz="1000"/>
          </a:pPr>
          <a:endParaRPr lang="en-AU" sz="800" b="0" i="0" u="none" strike="noStrike" baseline="0">
            <a:solidFill>
              <a:srgbClr val="000000"/>
            </a:solidFill>
            <a:latin typeface="Tahoma"/>
            <a:cs typeface="Tahoma"/>
          </a:endParaRPr>
        </a:p>
        <a:p>
          <a:pPr algn="l" rtl="0">
            <a:defRPr sz="1000"/>
          </a:pPr>
          <a:r>
            <a:rPr lang="en-AU" sz="800" b="0" i="0" u="none" strike="noStrike" baseline="0">
              <a:solidFill>
                <a:srgbClr val="000000"/>
              </a:solidFill>
              <a:latin typeface="Tahoma"/>
              <a:cs typeface="Tahoma"/>
            </a:rPr>
            <a:t>The "Accuracy Factor" is a rough and ready approach to show how many times larger the IRR NPV is compared to the XIRR NPV.</a:t>
          </a:r>
        </a:p>
      </xdr:txBody>
    </xdr:sp>
    <xdr:clientData/>
  </xdr:twoCellAnchor>
  <xdr:twoCellAnchor editAs="oneCell">
    <xdr:from>
      <xdr:col>9</xdr:col>
      <xdr:colOff>274320</xdr:colOff>
      <xdr:row>45</xdr:row>
      <xdr:rowOff>137160</xdr:rowOff>
    </xdr:from>
    <xdr:to>
      <xdr:col>13</xdr:col>
      <xdr:colOff>514350</xdr:colOff>
      <xdr:row>53</xdr:row>
      <xdr:rowOff>38100</xdr:rowOff>
    </xdr:to>
    <xdr:sp macro="" textlink="">
      <xdr:nvSpPr>
        <xdr:cNvPr id="5" name="Text Box 2">
          <a:extLst>
            <a:ext uri="{FF2B5EF4-FFF2-40B4-BE49-F238E27FC236}">
              <a16:creationId xmlns:a16="http://schemas.microsoft.com/office/drawing/2014/main" id="{1AA116D9-5A33-41DF-BD32-111C68F6AFA3}"/>
            </a:ext>
          </a:extLst>
        </xdr:cNvPr>
        <xdr:cNvSpPr txBox="1">
          <a:spLocks noChangeArrowheads="1"/>
        </xdr:cNvSpPr>
      </xdr:nvSpPr>
      <xdr:spPr bwMode="auto">
        <a:xfrm>
          <a:off x="4903470" y="7120890"/>
          <a:ext cx="2556510" cy="1066800"/>
        </a:xfrm>
        <a:prstGeom prst="rect">
          <a:avLst/>
        </a:prstGeom>
        <a:solidFill>
          <a:srgbClr val="FFFFE1"/>
        </a:solidFill>
        <a:ln w="9525">
          <a:solidFill>
            <a:srgbClr val="000000"/>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0" i="0" u="none" strike="noStrike" baseline="0">
              <a:solidFill>
                <a:srgbClr val="000000"/>
              </a:solidFill>
              <a:latin typeface="Tahoma"/>
              <a:cs typeface="Tahoma"/>
            </a:rPr>
            <a:t>XIRR truncates dates (see the Excel Help documentation for further details).</a:t>
          </a:r>
          <a:br>
            <a:rPr lang="en-AU" sz="800" b="0" i="0" u="none" strike="noStrike" baseline="0">
              <a:solidFill>
                <a:srgbClr val="000000"/>
              </a:solidFill>
              <a:latin typeface="Tahoma"/>
              <a:cs typeface="Tahoma"/>
            </a:rPr>
          </a:br>
          <a:br>
            <a:rPr lang="en-AU" sz="800" b="0" i="0" u="none" strike="noStrike" baseline="0">
              <a:solidFill>
                <a:srgbClr val="000000"/>
              </a:solidFill>
              <a:latin typeface="Tahoma"/>
              <a:cs typeface="Tahoma"/>
            </a:rPr>
          </a:br>
          <a:r>
            <a:rPr lang="en-AU" sz="800" b="0" i="0" u="none" strike="noStrike" baseline="0">
              <a:solidFill>
                <a:srgbClr val="000000"/>
              </a:solidFill>
              <a:latin typeface="Tahoma"/>
              <a:cs typeface="Tahoma"/>
            </a:rPr>
            <a:t>IRR is actually more accurate here, as a full manual work through demonstrates.</a:t>
          </a:r>
        </a:p>
        <a:p>
          <a:pPr algn="l" rtl="0">
            <a:defRPr sz="1000"/>
          </a:pPr>
          <a:endParaRPr lang="en-AU" sz="800" b="0" i="0" u="none" strike="noStrike" baseline="0">
            <a:solidFill>
              <a:srgbClr val="000000"/>
            </a:solidFill>
            <a:latin typeface="Tahoma"/>
            <a:cs typeface="Tahoma"/>
          </a:endParaRPr>
        </a:p>
        <a:p>
          <a:pPr algn="l" rtl="0">
            <a:defRPr sz="1000"/>
          </a:pPr>
          <a:r>
            <a:rPr lang="en-AU" sz="800" b="0" i="0" u="none" strike="noStrike" baseline="0">
              <a:solidFill>
                <a:srgbClr val="000000"/>
              </a:solidFill>
              <a:latin typeface="Tahoma"/>
              <a:cs typeface="Tahoma"/>
            </a:rPr>
            <a:t>The XNPV check relies on the same logic as XIRR, i.e. it </a:t>
          </a:r>
          <a:r>
            <a:rPr lang="en-AU" sz="800" b="1" i="0" u="sng" strike="noStrike" baseline="0">
              <a:solidFill>
                <a:srgbClr val="000000"/>
              </a:solidFill>
              <a:latin typeface="Tahoma"/>
              <a:cs typeface="Tahoma"/>
            </a:rPr>
            <a:t>cannot</a:t>
          </a:r>
          <a:r>
            <a:rPr lang="en-AU" sz="800" b="0" i="0" u="none" strike="noStrike" baseline="0">
              <a:solidFill>
                <a:srgbClr val="000000"/>
              </a:solidFill>
              <a:latin typeface="Tahoma"/>
              <a:cs typeface="Tahoma"/>
            </a:rPr>
            <a:t> be relied upon.</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582930</xdr:colOff>
      <xdr:row>9</xdr:row>
      <xdr:rowOff>30480</xdr:rowOff>
    </xdr:from>
    <xdr:to>
      <xdr:col>20</xdr:col>
      <xdr:colOff>706758</xdr:colOff>
      <xdr:row>11</xdr:row>
      <xdr:rowOff>140970</xdr:rowOff>
    </xdr:to>
    <xdr:sp macro="" textlink="">
      <xdr:nvSpPr>
        <xdr:cNvPr id="2" name="Text Box 2">
          <a:extLst>
            <a:ext uri="{FF2B5EF4-FFF2-40B4-BE49-F238E27FC236}">
              <a16:creationId xmlns:a16="http://schemas.microsoft.com/office/drawing/2014/main" id="{D65E3A54-3B5B-4FCA-A478-EE139C285A40}"/>
            </a:ext>
          </a:extLst>
        </xdr:cNvPr>
        <xdr:cNvSpPr txBox="1">
          <a:spLocks noChangeArrowheads="1"/>
        </xdr:cNvSpPr>
      </xdr:nvSpPr>
      <xdr:spPr bwMode="auto">
        <a:xfrm>
          <a:off x="10797540" y="1668780"/>
          <a:ext cx="2550798" cy="434340"/>
        </a:xfrm>
        <a:prstGeom prst="rect">
          <a:avLst/>
        </a:prstGeom>
        <a:solidFill>
          <a:srgbClr val="FFFFE1"/>
        </a:solidFill>
        <a:ln w="9525">
          <a:solidFill>
            <a:srgbClr val="000000"/>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0" i="0" u="none" strike="noStrike" baseline="0">
              <a:solidFill>
                <a:srgbClr val="000000"/>
              </a:solidFill>
              <a:latin typeface="Tahoma"/>
              <a:cs typeface="Tahoma"/>
            </a:rPr>
            <a:t>This table  highlights some of the different errors that may befall IRR and XIRR.</a:t>
          </a:r>
        </a:p>
      </xdr:txBody>
    </xdr:sp>
    <xdr:clientData/>
  </xdr:twoCellAnchor>
  <xdr:twoCellAnchor editAs="oneCell">
    <xdr:from>
      <xdr:col>14</xdr:col>
      <xdr:colOff>11430</xdr:colOff>
      <xdr:row>40</xdr:row>
      <xdr:rowOff>49530</xdr:rowOff>
    </xdr:from>
    <xdr:to>
      <xdr:col>17</xdr:col>
      <xdr:colOff>493398</xdr:colOff>
      <xdr:row>45</xdr:row>
      <xdr:rowOff>108585</xdr:rowOff>
    </xdr:to>
    <xdr:sp macro="" textlink="">
      <xdr:nvSpPr>
        <xdr:cNvPr id="3" name="Text Box 2">
          <a:extLst>
            <a:ext uri="{FF2B5EF4-FFF2-40B4-BE49-F238E27FC236}">
              <a16:creationId xmlns:a16="http://schemas.microsoft.com/office/drawing/2014/main" id="{40E1490C-B349-4036-B5AA-CD66031C0B5C}"/>
            </a:ext>
          </a:extLst>
        </xdr:cNvPr>
        <xdr:cNvSpPr txBox="1">
          <a:spLocks noChangeArrowheads="1"/>
        </xdr:cNvSpPr>
      </xdr:nvSpPr>
      <xdr:spPr bwMode="auto">
        <a:xfrm>
          <a:off x="8846820" y="6210300"/>
          <a:ext cx="2550798" cy="817245"/>
        </a:xfrm>
        <a:prstGeom prst="rect">
          <a:avLst/>
        </a:prstGeom>
        <a:solidFill>
          <a:srgbClr val="FFFFE1"/>
        </a:solidFill>
        <a:ln w="9525">
          <a:solidFill>
            <a:srgbClr val="000000"/>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0" i="0" u="none" strike="noStrike" baseline="0">
              <a:solidFill>
                <a:srgbClr val="000000"/>
              </a:solidFill>
              <a:latin typeface="Tahoma"/>
              <a:cs typeface="Tahoma"/>
            </a:rPr>
            <a:t>This table demonstrates  a check for the values in columns S, T and U (simply change the values in the drop down boxes in cells F45 and F46).</a:t>
          </a:r>
        </a:p>
        <a:p>
          <a:pPr algn="l" rtl="0">
            <a:defRPr sz="1000"/>
          </a:pPr>
          <a:endParaRPr lang="en-AU" sz="800" b="0" i="0" u="none" strike="noStrike" baseline="0">
            <a:solidFill>
              <a:srgbClr val="000000"/>
            </a:solidFill>
            <a:latin typeface="Tahoma"/>
            <a:cs typeface="Tahoma"/>
          </a:endParaRPr>
        </a:p>
        <a:p>
          <a:pPr algn="l" rtl="0">
            <a:defRPr sz="1000"/>
          </a:pPr>
          <a:r>
            <a:rPr lang="en-AU" sz="800" b="0" i="0" u="none" strike="noStrike" baseline="0">
              <a:solidFill>
                <a:srgbClr val="000000"/>
              </a:solidFill>
              <a:latin typeface="Tahoma"/>
              <a:cs typeface="Tahoma"/>
            </a:rPr>
            <a:t>This table may be modified to drive GOAL SEEK solutions.</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18</xdr:col>
      <xdr:colOff>640080</xdr:colOff>
      <xdr:row>9</xdr:row>
      <xdr:rowOff>91440</xdr:rowOff>
    </xdr:from>
    <xdr:to>
      <xdr:col>23</xdr:col>
      <xdr:colOff>145415</xdr:colOff>
      <xdr:row>12</xdr:row>
      <xdr:rowOff>60960</xdr:rowOff>
    </xdr:to>
    <xdr:sp macro="" textlink="">
      <xdr:nvSpPr>
        <xdr:cNvPr id="2" name="Text Box 2">
          <a:extLst>
            <a:ext uri="{FF2B5EF4-FFF2-40B4-BE49-F238E27FC236}">
              <a16:creationId xmlns:a16="http://schemas.microsoft.com/office/drawing/2014/main" id="{974E695A-48EB-4386-9320-A8F8642DF642}"/>
            </a:ext>
          </a:extLst>
        </xdr:cNvPr>
        <xdr:cNvSpPr txBox="1">
          <a:spLocks noChangeArrowheads="1"/>
        </xdr:cNvSpPr>
      </xdr:nvSpPr>
      <xdr:spPr bwMode="auto">
        <a:xfrm>
          <a:off x="11616690" y="1249680"/>
          <a:ext cx="2553335" cy="438150"/>
        </a:xfrm>
        <a:prstGeom prst="rect">
          <a:avLst/>
        </a:prstGeom>
        <a:solidFill>
          <a:srgbClr val="FFFFE1"/>
        </a:solidFill>
        <a:ln w="9525">
          <a:solidFill>
            <a:srgbClr val="000000"/>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0" i="0" u="none" strike="noStrike" baseline="0">
              <a:solidFill>
                <a:srgbClr val="000000"/>
              </a:solidFill>
              <a:latin typeface="Tahoma"/>
              <a:cs typeface="Tahoma"/>
            </a:rPr>
            <a:t>This table  highlights that putting a small negative number at the beginning of a series of values does not always make calculations better...</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hangeLog" displayName="ChangeLog" ref="F10:K13" totalsRowShown="0" headerRowCellStyle="Table_Heading">
  <autoFilter ref="F10:K13" xr:uid="{00000000-0009-0000-0100-000001000000}"/>
  <tableColumns count="6">
    <tableColumn id="1" xr3:uid="{00000000-0010-0000-0000-000001000000}" name="Date" dataCellStyle="Date"/>
    <tableColumn id="2" xr3:uid="{00000000-0010-0000-0000-000002000000}" name="Model Version "/>
    <tableColumn id="3" xr3:uid="{00000000-0010-0000-0000-000003000000}" name="Details of change"/>
    <tableColumn id="4" xr3:uid="{00000000-0010-0000-0000-000004000000}" name="Worksheet Reference"/>
    <tableColumn id="5" xr3:uid="{00000000-0010-0000-0000-000005000000}" name="Row, column, cell reference" dataDxfId="0"/>
    <tableColumn id="6" xr3:uid="{00000000-0010-0000-0000-000006000000}" name="Autho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umproduct.com/" TargetMode="External"/><Relationship Id="rId1" Type="http://schemas.openxmlformats.org/officeDocument/2006/relationships/hyperlink" Target="mailto:liam.bastick@sumproduct.co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22"/>
  <sheetViews>
    <sheetView showGridLines="0" tabSelected="1" zoomScaleNormal="100" workbookViewId="0"/>
  </sheetViews>
  <sheetFormatPr defaultRowHeight="12" x14ac:dyDescent="0.2"/>
  <cols>
    <col min="3" max="4" width="3.7109375" customWidth="1"/>
  </cols>
  <sheetData>
    <row r="1" spans="1:19" x14ac:dyDescent="0.2">
      <c r="A1" s="11"/>
    </row>
    <row r="3" spans="1:19" x14ac:dyDescent="0.2">
      <c r="A3" s="89" t="s">
        <v>1</v>
      </c>
    </row>
    <row r="5" spans="1:19" ht="20.25" x14ac:dyDescent="0.3">
      <c r="C5" s="14" t="str">
        <f>Client_Name</f>
        <v>SumProduct Pty Limited</v>
      </c>
      <c r="D5" s="7"/>
      <c r="E5" s="7"/>
      <c r="F5" s="7"/>
      <c r="G5" s="7"/>
      <c r="H5" s="7"/>
      <c r="I5" s="7"/>
      <c r="J5" s="7"/>
    </row>
    <row r="6" spans="1:19" ht="18" x14ac:dyDescent="0.25">
      <c r="C6" s="16" t="str">
        <f ca="1">Model_Name</f>
        <v>Chapter 7.5 - SP Internal Rate of Return Summary Examples.xlsx</v>
      </c>
      <c r="D6" s="7"/>
      <c r="E6" s="7"/>
      <c r="F6" s="7"/>
      <c r="G6" s="7"/>
      <c r="H6" s="7"/>
      <c r="I6" s="7"/>
      <c r="J6" s="7"/>
    </row>
    <row r="7" spans="1:19" ht="12.75" x14ac:dyDescent="0.2">
      <c r="C7" s="7"/>
      <c r="D7" s="7"/>
      <c r="E7" s="7"/>
      <c r="F7" s="7"/>
      <c r="G7" s="7"/>
      <c r="H7" s="7"/>
      <c r="I7" s="7"/>
      <c r="J7" s="7"/>
    </row>
    <row r="8" spans="1:19" ht="12.75" x14ac:dyDescent="0.2">
      <c r="C8" s="7"/>
      <c r="D8" s="7"/>
      <c r="E8" s="7"/>
      <c r="F8" s="7"/>
      <c r="G8" s="7"/>
      <c r="H8" s="7"/>
      <c r="I8" s="7"/>
      <c r="J8" s="7"/>
    </row>
    <row r="9" spans="1:19" ht="12.75" x14ac:dyDescent="0.2">
      <c r="C9" s="7"/>
      <c r="D9" s="7"/>
      <c r="E9" s="7"/>
      <c r="F9" s="7"/>
      <c r="G9" s="7"/>
      <c r="H9" s="7"/>
      <c r="I9" s="7"/>
      <c r="J9" s="7"/>
    </row>
    <row r="10" spans="1:19" ht="12.75" x14ac:dyDescent="0.2">
      <c r="C10" s="7"/>
      <c r="D10" s="7"/>
      <c r="E10" s="7"/>
      <c r="F10" s="7"/>
      <c r="G10" s="7"/>
      <c r="H10" s="7"/>
      <c r="I10" s="7"/>
      <c r="J10" s="7"/>
    </row>
    <row r="11" spans="1:19" ht="15" x14ac:dyDescent="0.25">
      <c r="C11" s="7"/>
      <c r="D11" s="7"/>
      <c r="E11" s="7"/>
      <c r="F11" s="7"/>
      <c r="G11" s="7"/>
      <c r="H11" s="7"/>
      <c r="I11" s="7"/>
      <c r="J11" s="7"/>
      <c r="S11" s="39"/>
    </row>
    <row r="12" spans="1:19" ht="12.75" x14ac:dyDescent="0.2">
      <c r="C12" s="7"/>
      <c r="D12" s="7"/>
      <c r="E12" s="7"/>
      <c r="F12" s="7"/>
      <c r="G12" s="7"/>
      <c r="H12" s="7"/>
      <c r="I12" s="7"/>
      <c r="J12" s="7"/>
    </row>
    <row r="13" spans="1:19" ht="12.75" x14ac:dyDescent="0.2">
      <c r="C13" s="7"/>
      <c r="D13" s="7"/>
      <c r="E13" s="7"/>
      <c r="F13" s="7"/>
      <c r="G13" s="7"/>
      <c r="H13" s="7"/>
      <c r="I13" s="7"/>
      <c r="J13" s="7"/>
    </row>
    <row r="14" spans="1:19" ht="12.75" x14ac:dyDescent="0.2">
      <c r="C14" s="8" t="s">
        <v>19</v>
      </c>
      <c r="D14" s="9"/>
      <c r="E14" s="7"/>
      <c r="F14" s="7"/>
      <c r="G14" s="7"/>
      <c r="H14" s="7"/>
      <c r="I14" s="7"/>
      <c r="J14" s="7"/>
    </row>
    <row r="15" spans="1:19" ht="12.75" x14ac:dyDescent="0.2">
      <c r="C15" s="9"/>
      <c r="D15" s="9"/>
      <c r="E15" s="7"/>
      <c r="F15" s="7"/>
      <c r="G15" s="7"/>
      <c r="H15" s="7"/>
      <c r="I15" s="7"/>
      <c r="J15" s="7"/>
    </row>
    <row r="16" spans="1:19" ht="12.75" x14ac:dyDescent="0.2">
      <c r="C16" s="8" t="s">
        <v>20</v>
      </c>
      <c r="D16" s="9"/>
      <c r="E16" s="7"/>
      <c r="F16" s="7"/>
      <c r="G16" s="7"/>
      <c r="H16" s="7"/>
      <c r="I16" s="7"/>
      <c r="J16" s="7"/>
    </row>
    <row r="17" spans="3:10" ht="12.75" x14ac:dyDescent="0.2">
      <c r="C17" s="90" t="s">
        <v>157</v>
      </c>
      <c r="D17" s="90"/>
      <c r="E17" s="90"/>
      <c r="F17" s="90"/>
      <c r="G17" s="90"/>
      <c r="H17" s="90"/>
      <c r="I17" s="90"/>
      <c r="J17" s="90"/>
    </row>
    <row r="18" spans="3:10" ht="12.75" x14ac:dyDescent="0.2">
      <c r="C18" s="90"/>
      <c r="D18" s="90"/>
      <c r="E18" s="90"/>
      <c r="F18" s="90"/>
      <c r="G18" s="90"/>
      <c r="H18" s="90"/>
      <c r="I18" s="90"/>
      <c r="J18" s="90"/>
    </row>
    <row r="19" spans="3:10" ht="12.75" x14ac:dyDescent="0.2">
      <c r="C19" s="10"/>
      <c r="D19" s="9"/>
      <c r="E19" s="7"/>
      <c r="F19" s="7"/>
      <c r="G19" s="7"/>
      <c r="H19" s="7"/>
      <c r="I19" s="7"/>
      <c r="J19" s="7"/>
    </row>
    <row r="20" spans="3:10" ht="12.75" x14ac:dyDescent="0.2">
      <c r="C20" s="10"/>
      <c r="D20" s="9"/>
      <c r="E20" s="7"/>
      <c r="F20" s="7"/>
      <c r="G20" s="7"/>
      <c r="H20" s="7"/>
      <c r="I20" s="7"/>
      <c r="J20" s="7"/>
    </row>
    <row r="21" spans="3:10" ht="12.75" x14ac:dyDescent="0.2">
      <c r="C21" s="10" t="s">
        <v>21</v>
      </c>
      <c r="D21" s="9"/>
      <c r="E21" s="7"/>
      <c r="F21" s="7"/>
      <c r="G21" s="91" t="s">
        <v>22</v>
      </c>
      <c r="H21" s="91"/>
      <c r="I21" s="91"/>
      <c r="J21" s="7"/>
    </row>
    <row r="22" spans="3:10" ht="12.75" x14ac:dyDescent="0.2">
      <c r="C22" s="10" t="s">
        <v>23</v>
      </c>
      <c r="D22" s="9"/>
      <c r="E22" s="7"/>
      <c r="F22" s="7"/>
      <c r="G22" s="91" t="s">
        <v>24</v>
      </c>
      <c r="H22" s="91"/>
      <c r="I22" s="91"/>
      <c r="J22" s="7"/>
    </row>
  </sheetData>
  <mergeCells count="4">
    <mergeCell ref="C17:J17"/>
    <mergeCell ref="C18:J18"/>
    <mergeCell ref="G21:I21"/>
    <mergeCell ref="G22:I22"/>
  </mergeCells>
  <hyperlinks>
    <hyperlink ref="G21" r:id="rId1" xr:uid="{00000000-0004-0000-0000-000000000000}"/>
    <hyperlink ref="G22" r:id="rId2" xr:uid="{00000000-0004-0000-0000-000001000000}"/>
    <hyperlink ref="A3" location="HL_Navigator" display="Navigator" xr:uid="{00000000-0004-0000-0000-000002000000}"/>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0274A-9C00-4BCC-B098-050854025489}">
  <dimension ref="A1:U64"/>
  <sheetViews>
    <sheetView showGridLines="0" workbookViewId="0">
      <pane ySplit="4" topLeftCell="A5" activePane="bottomLeft" state="frozen"/>
      <selection pane="bottomLeft" activeCell="A5" sqref="A5"/>
    </sheetView>
  </sheetViews>
  <sheetFormatPr defaultColWidth="0" defaultRowHeight="12" zeroHeight="1" x14ac:dyDescent="0.2"/>
  <cols>
    <col min="1" max="1" width="3.7109375" customWidth="1"/>
    <col min="2" max="2" width="3.7109375" style="53" customWidth="1"/>
    <col min="3" max="6" width="3.7109375" customWidth="1"/>
    <col min="7" max="7" width="22.28515625" bestFit="1" customWidth="1"/>
    <col min="8" max="8" width="15.140625" customWidth="1"/>
    <col min="9" max="9" width="11.7109375" bestFit="1" customWidth="1"/>
    <col min="10" max="15" width="9" customWidth="1"/>
    <col min="16" max="21" width="0" hidden="1" customWidth="1"/>
    <col min="22" max="16384" width="9" hidden="1"/>
  </cols>
  <sheetData>
    <row r="1" spans="1:21" ht="20.25" x14ac:dyDescent="0.3">
      <c r="A1" s="14" t="str">
        <f ca="1">IF(ISERROR(RIGHT(CELL("filename",A1),LEN(CELL("filename",A1))-FIND("]",CELL("filename",A1)))),
"",
RIGHT(CELL("filename",A1),LEN(CELL("filename",A1))-FIND("]",CELL("filename",A1))))</f>
        <v>Unreliable_XNPV</v>
      </c>
      <c r="C1" s="53"/>
      <c r="D1" s="53"/>
      <c r="E1" s="53"/>
      <c r="F1" s="53"/>
      <c r="G1" s="53"/>
      <c r="H1" s="53"/>
      <c r="I1" s="53"/>
      <c r="J1" s="53"/>
      <c r="K1" s="53"/>
      <c r="L1" s="53"/>
      <c r="M1" s="53"/>
      <c r="N1" s="53"/>
      <c r="O1" s="53"/>
      <c r="P1" s="53"/>
      <c r="Q1" s="53"/>
      <c r="R1" s="53"/>
      <c r="S1" s="53"/>
      <c r="T1" s="53"/>
      <c r="U1" s="53"/>
    </row>
    <row r="2" spans="1:21" ht="18" x14ac:dyDescent="0.25">
      <c r="A2" s="16" t="str">
        <f ca="1">Model_Name</f>
        <v>Chapter 7.5 - SP Internal Rate of Return Summary Examples.xlsx</v>
      </c>
      <c r="C2" s="53"/>
      <c r="D2" s="53"/>
      <c r="E2" s="53"/>
      <c r="F2" s="53"/>
      <c r="G2" s="53"/>
      <c r="H2" s="53"/>
      <c r="I2" s="53"/>
      <c r="J2" s="53"/>
      <c r="K2" s="53"/>
      <c r="L2" s="53"/>
      <c r="M2" s="53"/>
      <c r="N2" s="53"/>
      <c r="O2" s="53"/>
      <c r="P2" s="53"/>
      <c r="Q2" s="53"/>
      <c r="R2" s="53"/>
      <c r="S2" s="53"/>
      <c r="T2" s="53"/>
      <c r="U2" s="53"/>
    </row>
    <row r="3" spans="1:21" x14ac:dyDescent="0.2">
      <c r="A3" s="91" t="s">
        <v>1</v>
      </c>
      <c r="B3" s="91"/>
      <c r="C3" s="91"/>
      <c r="D3" s="91"/>
      <c r="E3" s="91"/>
      <c r="F3" s="53"/>
      <c r="G3" s="53"/>
      <c r="H3" s="53"/>
      <c r="I3" s="53"/>
      <c r="J3" s="53"/>
      <c r="K3" s="53"/>
      <c r="L3" s="53"/>
      <c r="M3" s="53"/>
      <c r="N3" s="53"/>
      <c r="O3" s="53"/>
      <c r="P3" s="53"/>
      <c r="Q3" s="53"/>
      <c r="R3" s="53"/>
      <c r="S3" s="53"/>
      <c r="T3" s="53"/>
      <c r="U3" s="53"/>
    </row>
    <row r="4" spans="1:21" ht="14.25" x14ac:dyDescent="0.2">
      <c r="A4" s="53"/>
      <c r="C4" s="53"/>
      <c r="D4" s="53"/>
      <c r="E4" s="53" t="s">
        <v>2</v>
      </c>
      <c r="F4" s="53"/>
      <c r="G4" s="53"/>
      <c r="H4" s="53"/>
      <c r="I4" s="1">
        <f>Overall_Error_Check</f>
        <v>0</v>
      </c>
      <c r="J4" s="53"/>
      <c r="K4" s="53"/>
      <c r="L4" s="53"/>
      <c r="M4" s="53"/>
      <c r="N4" s="53"/>
      <c r="O4" s="53"/>
      <c r="P4" s="53"/>
      <c r="Q4" s="53"/>
      <c r="R4" s="53"/>
      <c r="S4" s="53"/>
      <c r="T4" s="53"/>
      <c r="U4" s="53"/>
    </row>
    <row r="5" spans="1:21" s="53" customFormat="1" x14ac:dyDescent="0.2">
      <c r="A5" s="52"/>
    </row>
    <row r="6" spans="1:21" ht="16.5" thickBot="1" x14ac:dyDescent="0.3">
      <c r="A6" s="53"/>
      <c r="B6" s="41">
        <f>MAX($B$5:$B5)+1</f>
        <v>1</v>
      </c>
      <c r="C6" s="2" t="str">
        <f ca="1">A1</f>
        <v>Unreliable_XNPV</v>
      </c>
      <c r="D6" s="2"/>
      <c r="E6" s="2"/>
      <c r="F6" s="2"/>
      <c r="G6" s="2"/>
      <c r="H6" s="2"/>
      <c r="I6" s="2"/>
      <c r="J6" s="2"/>
      <c r="K6" s="2"/>
      <c r="L6" s="2"/>
      <c r="M6" s="2"/>
      <c r="N6" s="2"/>
      <c r="P6" s="53"/>
      <c r="Q6" s="53"/>
      <c r="R6" s="53"/>
      <c r="S6" s="53"/>
      <c r="T6" s="53"/>
      <c r="U6" s="53"/>
    </row>
    <row r="7" spans="1:21" ht="12.75" thickTop="1" x14ac:dyDescent="0.2"/>
    <row r="8" spans="1:21" ht="16.5" x14ac:dyDescent="0.25">
      <c r="C8" s="3" t="s">
        <v>129</v>
      </c>
      <c r="D8" s="50"/>
      <c r="E8" s="50"/>
      <c r="F8" s="50"/>
      <c r="G8" s="50"/>
      <c r="H8" s="50"/>
    </row>
    <row r="9" spans="1:21" x14ac:dyDescent="0.2">
      <c r="C9" s="50"/>
      <c r="D9" s="50"/>
      <c r="E9" s="50"/>
      <c r="F9" s="50"/>
      <c r="G9" s="50"/>
      <c r="H9" s="50"/>
    </row>
    <row r="10" spans="1:21" ht="15" x14ac:dyDescent="0.25">
      <c r="C10" s="50"/>
      <c r="D10" s="4" t="s">
        <v>69</v>
      </c>
      <c r="E10" s="50"/>
      <c r="F10" s="50"/>
      <c r="G10" s="50"/>
      <c r="H10" s="50"/>
    </row>
    <row r="11" spans="1:21" x14ac:dyDescent="0.2">
      <c r="C11" s="50"/>
      <c r="D11" s="50"/>
      <c r="E11" s="50"/>
      <c r="F11" s="50"/>
      <c r="G11" s="50"/>
      <c r="H11" s="50"/>
    </row>
    <row r="12" spans="1:21" x14ac:dyDescent="0.2">
      <c r="C12" s="50"/>
      <c r="D12" s="50"/>
      <c r="E12" s="50"/>
      <c r="F12" s="50"/>
      <c r="G12" s="50" t="s">
        <v>9</v>
      </c>
      <c r="H12" s="67">
        <v>365</v>
      </c>
    </row>
    <row r="13" spans="1:21" x14ac:dyDescent="0.2">
      <c r="C13" s="50"/>
      <c r="D13" s="50"/>
      <c r="E13" s="50"/>
      <c r="F13" s="50"/>
      <c r="G13" s="50" t="s">
        <v>14</v>
      </c>
      <c r="H13" s="67">
        <v>4</v>
      </c>
    </row>
    <row r="14" spans="1:21" x14ac:dyDescent="0.2">
      <c r="C14" s="50"/>
      <c r="D14" s="50"/>
      <c r="E14" s="50"/>
      <c r="F14" s="50"/>
      <c r="G14" s="50" t="s">
        <v>126</v>
      </c>
      <c r="H14" s="67">
        <v>4</v>
      </c>
    </row>
    <row r="15" spans="1:21" x14ac:dyDescent="0.2">
      <c r="C15" s="50"/>
      <c r="D15" s="50"/>
      <c r="E15" s="50"/>
      <c r="F15" s="50"/>
      <c r="G15" s="50"/>
      <c r="H15" s="50"/>
    </row>
    <row r="16" spans="1:21" x14ac:dyDescent="0.2">
      <c r="C16" s="50"/>
      <c r="D16" s="50"/>
      <c r="E16" s="50"/>
      <c r="F16" s="50"/>
      <c r="G16" s="50"/>
      <c r="H16" s="50"/>
    </row>
    <row r="17" spans="3:8" x14ac:dyDescent="0.2">
      <c r="C17" s="50"/>
      <c r="D17" s="50"/>
      <c r="E17" s="50"/>
      <c r="F17" s="50"/>
      <c r="G17" s="70">
        <v>44197</v>
      </c>
      <c r="H17" s="60">
        <v>-100</v>
      </c>
    </row>
    <row r="18" spans="3:8" x14ac:dyDescent="0.2">
      <c r="C18" s="50"/>
      <c r="D18" s="50"/>
      <c r="E18" s="50"/>
      <c r="F18" s="50"/>
      <c r="G18" s="70">
        <f>G17+(Days_in_Year/Quarters_in_Year)</f>
        <v>44288.25</v>
      </c>
      <c r="H18" s="60">
        <v>5</v>
      </c>
    </row>
    <row r="19" spans="3:8" x14ac:dyDescent="0.2">
      <c r="C19" s="50"/>
      <c r="D19" s="50"/>
      <c r="E19" s="50"/>
      <c r="F19" s="50"/>
      <c r="G19" s="70">
        <f>G18+(Days_in_Year/Quarters_in_Year)</f>
        <v>44379.5</v>
      </c>
      <c r="H19" s="60">
        <v>5</v>
      </c>
    </row>
    <row r="20" spans="3:8" x14ac:dyDescent="0.2">
      <c r="C20" s="50"/>
      <c r="D20" s="50"/>
      <c r="E20" s="50"/>
      <c r="F20" s="50"/>
      <c r="G20" s="70">
        <f>G19+(Days_in_Year/Quarters_in_Year)</f>
        <v>44470.75</v>
      </c>
      <c r="H20" s="60">
        <v>5</v>
      </c>
    </row>
    <row r="21" spans="3:8" x14ac:dyDescent="0.2">
      <c r="C21" s="50"/>
      <c r="D21" s="50"/>
      <c r="E21" s="50"/>
      <c r="F21" s="50"/>
      <c r="G21" s="70">
        <f>G20+(Days_in_Year/Quarters_in_Year)</f>
        <v>44562</v>
      </c>
      <c r="H21" s="60">
        <v>120</v>
      </c>
    </row>
    <row r="22" spans="3:8" x14ac:dyDescent="0.2">
      <c r="C22" s="50"/>
      <c r="D22" s="50"/>
      <c r="E22" s="50"/>
      <c r="F22" s="50"/>
      <c r="G22" s="50"/>
      <c r="H22" s="50"/>
    </row>
    <row r="23" spans="3:8" x14ac:dyDescent="0.2">
      <c r="C23" s="50"/>
      <c r="D23" s="50"/>
      <c r="E23" s="50"/>
      <c r="F23" s="50"/>
      <c r="G23" s="50" t="s">
        <v>127</v>
      </c>
      <c r="H23" s="50">
        <f>G21-G17</f>
        <v>365</v>
      </c>
    </row>
    <row r="24" spans="3:8" x14ac:dyDescent="0.2">
      <c r="C24" s="50"/>
      <c r="D24" s="50"/>
      <c r="E24" s="50"/>
      <c r="F24" s="50"/>
      <c r="G24" s="50"/>
      <c r="H24" s="50"/>
    </row>
    <row r="25" spans="3:8" x14ac:dyDescent="0.2">
      <c r="C25" s="50"/>
      <c r="D25" s="50"/>
      <c r="E25" s="50"/>
      <c r="F25" s="50"/>
      <c r="G25" s="50" t="s">
        <v>100</v>
      </c>
      <c r="H25" s="68">
        <f>XIRR(H17:H21,G17:G21)</f>
        <v>0.37643173336982727</v>
      </c>
    </row>
    <row r="26" spans="3:8" x14ac:dyDescent="0.2">
      <c r="C26" s="50"/>
      <c r="D26" s="50"/>
      <c r="E26" s="50"/>
      <c r="F26" s="50"/>
      <c r="G26" s="50" t="s">
        <v>98</v>
      </c>
      <c r="H26" s="68">
        <f>(1+IRR(H17:H21))^Quarters_in_Year-1</f>
        <v>0.37635129305321535</v>
      </c>
    </row>
    <row r="27" spans="3:8" x14ac:dyDescent="0.2">
      <c r="C27" s="50"/>
      <c r="D27" s="50"/>
      <c r="E27" s="50"/>
      <c r="F27" s="50"/>
      <c r="G27" s="50"/>
      <c r="H27" s="50"/>
    </row>
    <row r="28" spans="3:8" x14ac:dyDescent="0.2">
      <c r="C28" s="50"/>
      <c r="D28" s="50"/>
      <c r="E28" s="50"/>
      <c r="F28" s="50"/>
      <c r="G28" s="50" t="str">
        <f>"XNPV using "&amp;G25</f>
        <v>XNPV using XIRR</v>
      </c>
      <c r="H28" s="69">
        <f>XNPV($H25,$H$17:$H$21,$G$17:$G$21)</f>
        <v>6.5041746211136342E-8</v>
      </c>
    </row>
    <row r="29" spans="3:8" x14ac:dyDescent="0.2">
      <c r="C29" s="50"/>
      <c r="D29" s="50"/>
      <c r="E29" s="50"/>
      <c r="F29" s="50"/>
      <c r="G29" s="50" t="str">
        <f>"XNPV using "&amp;G26</f>
        <v>XNPV using IRR</v>
      </c>
      <c r="H29" s="69">
        <f>XNPV($H26,$H$17:$H$21,$G$17:$G$21)</f>
        <v>5.4590145829678249E-3</v>
      </c>
    </row>
    <row r="30" spans="3:8" x14ac:dyDescent="0.2">
      <c r="C30" s="50"/>
      <c r="D30" s="50"/>
      <c r="E30" s="50"/>
      <c r="F30" s="50"/>
      <c r="G30" s="50"/>
      <c r="H30" s="50"/>
    </row>
    <row r="31" spans="3:8" x14ac:dyDescent="0.2">
      <c r="C31" s="50"/>
      <c r="D31" s="50"/>
      <c r="E31" s="50"/>
      <c r="F31" s="50"/>
      <c r="G31" s="50" t="s">
        <v>128</v>
      </c>
      <c r="H31" s="50">
        <f>ABS(H29/H28)</f>
        <v>83930.935145052135</v>
      </c>
    </row>
    <row r="32" spans="3:8" x14ac:dyDescent="0.2"/>
    <row r="33" spans="3:13" ht="16.5" x14ac:dyDescent="0.25">
      <c r="C33" s="3" t="s">
        <v>130</v>
      </c>
    </row>
    <row r="34" spans="3:13" x14ac:dyDescent="0.2"/>
    <row r="35" spans="3:13" ht="15" x14ac:dyDescent="0.25">
      <c r="D35" s="4" t="s">
        <v>131</v>
      </c>
    </row>
    <row r="36" spans="3:13" x14ac:dyDescent="0.2"/>
    <row r="37" spans="3:13" x14ac:dyDescent="0.2">
      <c r="E37" s="63" t="str">
        <f>G25&amp;" Rate"</f>
        <v>XIRR Rate</v>
      </c>
    </row>
    <row r="38" spans="3:13" x14ac:dyDescent="0.2"/>
    <row r="39" spans="3:13" x14ac:dyDescent="0.2">
      <c r="G39" t="str">
        <f>E37</f>
        <v>XIRR Rate</v>
      </c>
      <c r="H39" s="68">
        <f>H25</f>
        <v>0.37643173336982727</v>
      </c>
    </row>
    <row r="40" spans="3:13" x14ac:dyDescent="0.2">
      <c r="G40" t="s">
        <v>132</v>
      </c>
      <c r="H40" s="68">
        <f>(1+H39)^(1/Quarters_in_Year)-1</f>
        <v>8.3150162386579574E-2</v>
      </c>
    </row>
    <row r="41" spans="3:13" x14ac:dyDescent="0.2"/>
    <row r="42" spans="3:13" x14ac:dyDescent="0.2">
      <c r="G42" t="s">
        <v>133</v>
      </c>
      <c r="I42" s="64">
        <v>0</v>
      </c>
      <c r="J42" s="64">
        <f>I42+1</f>
        <v>1</v>
      </c>
      <c r="K42" s="64">
        <f>J42+1</f>
        <v>2</v>
      </c>
      <c r="L42" s="64">
        <f>K42+1</f>
        <v>3</v>
      </c>
      <c r="M42" s="64">
        <f>L42+1</f>
        <v>4</v>
      </c>
    </row>
    <row r="43" spans="3:13" x14ac:dyDescent="0.2">
      <c r="G43" t="s">
        <v>134</v>
      </c>
      <c r="I43" s="71">
        <f ca="1">OFFSET($H$17,I42,)</f>
        <v>-100</v>
      </c>
      <c r="J43" s="71">
        <f ca="1">OFFSET($H$17,J42,)</f>
        <v>5</v>
      </c>
      <c r="K43" s="71">
        <f ca="1">OFFSET($H$17,K42,)</f>
        <v>5</v>
      </c>
      <c r="L43" s="71">
        <f ca="1">OFFSET($H$17,L42,)</f>
        <v>5</v>
      </c>
      <c r="M43" s="71">
        <f ca="1">OFFSET($H$17,M42,)</f>
        <v>120</v>
      </c>
    </row>
    <row r="44" spans="3:13" x14ac:dyDescent="0.2">
      <c r="G44" t="s">
        <v>135</v>
      </c>
      <c r="I44" s="74">
        <f>1/(1+$H40)^I42</f>
        <v>1</v>
      </c>
      <c r="J44" s="74">
        <f>1/(1+$H40)^J42</f>
        <v>0.92323302412347974</v>
      </c>
      <c r="K44" s="74">
        <f>1/(1+$H40)^K42</f>
        <v>0.85235921683218563</v>
      </c>
      <c r="L44" s="74">
        <f>1/(1+$H40)^L42</f>
        <v>0.78692617739549953</v>
      </c>
      <c r="M44" s="74">
        <f>1/(1+$H40)^M42</f>
        <v>0.72651623451877689</v>
      </c>
    </row>
    <row r="45" spans="3:13" x14ac:dyDescent="0.2">
      <c r="G45" t="str">
        <f>"Present Value of "&amp;G43</f>
        <v>Present Value of Cashflows</v>
      </c>
      <c r="I45" s="72">
        <f ca="1">I43*I44</f>
        <v>-100</v>
      </c>
      <c r="J45" s="72">
        <f ca="1">J43*J44</f>
        <v>4.6161651206173984</v>
      </c>
      <c r="K45" s="72">
        <f ca="1">K43*K44</f>
        <v>4.2617960841609284</v>
      </c>
      <c r="L45" s="72">
        <f ca="1">L43*L44</f>
        <v>3.9346308869774975</v>
      </c>
      <c r="M45" s="72">
        <f ca="1">M43*M44</f>
        <v>87.181948142253233</v>
      </c>
    </row>
    <row r="46" spans="3:13" x14ac:dyDescent="0.2"/>
    <row r="47" spans="3:13" ht="12.75" thickBot="1" x14ac:dyDescent="0.25">
      <c r="G47" s="63" t="s">
        <v>136</v>
      </c>
      <c r="I47" s="73">
        <f ca="1">SUM(I45:M45)</f>
        <v>-5.459765990934784E-3</v>
      </c>
    </row>
    <row r="48" spans="3:13" ht="12.75" thickTop="1" x14ac:dyDescent="0.2"/>
    <row r="49" spans="5:13" x14ac:dyDescent="0.2"/>
    <row r="50" spans="5:13" x14ac:dyDescent="0.2">
      <c r="E50" s="63" t="str">
        <f>G26&amp;" Rate"</f>
        <v>IRR Rate</v>
      </c>
    </row>
    <row r="51" spans="5:13" x14ac:dyDescent="0.2"/>
    <row r="52" spans="5:13" x14ac:dyDescent="0.2">
      <c r="G52" s="50" t="str">
        <f>E50</f>
        <v>IRR Rate</v>
      </c>
      <c r="H52" s="68">
        <f>H26</f>
        <v>0.37635129305321535</v>
      </c>
      <c r="I52" s="50"/>
      <c r="J52" s="50"/>
      <c r="K52" s="50"/>
      <c r="L52" s="50"/>
      <c r="M52" s="50"/>
    </row>
    <row r="53" spans="5:13" x14ac:dyDescent="0.2">
      <c r="G53" s="50" t="s">
        <v>132</v>
      </c>
      <c r="H53" s="68">
        <f>(1+H52)^(1/Quarters_in_Year)-1</f>
        <v>8.3134336892037641E-2</v>
      </c>
      <c r="I53" s="50"/>
      <c r="J53" s="50"/>
      <c r="K53" s="50"/>
      <c r="L53" s="50"/>
      <c r="M53" s="50"/>
    </row>
    <row r="54" spans="5:13" x14ac:dyDescent="0.2">
      <c r="G54" s="50"/>
      <c r="H54" s="50"/>
      <c r="I54" s="50"/>
      <c r="J54" s="50"/>
      <c r="K54" s="50"/>
      <c r="L54" s="50"/>
      <c r="M54" s="50"/>
    </row>
    <row r="55" spans="5:13" x14ac:dyDescent="0.2">
      <c r="G55" s="50" t="s">
        <v>133</v>
      </c>
      <c r="H55" s="50"/>
      <c r="I55" s="64">
        <v>0</v>
      </c>
      <c r="J55" s="64">
        <f>I55+1</f>
        <v>1</v>
      </c>
      <c r="K55" s="64">
        <f>J55+1</f>
        <v>2</v>
      </c>
      <c r="L55" s="64">
        <f>K55+1</f>
        <v>3</v>
      </c>
      <c r="M55" s="64">
        <f>L55+1</f>
        <v>4</v>
      </c>
    </row>
    <row r="56" spans="5:13" x14ac:dyDescent="0.2">
      <c r="G56" s="50" t="s">
        <v>134</v>
      </c>
      <c r="H56" s="50"/>
      <c r="I56" s="71">
        <f ca="1">OFFSET($H$17,I55,)</f>
        <v>-100</v>
      </c>
      <c r="J56" s="71">
        <f ca="1">OFFSET($H$17,J55,)</f>
        <v>5</v>
      </c>
      <c r="K56" s="71">
        <f ca="1">OFFSET($H$17,K55,)</f>
        <v>5</v>
      </c>
      <c r="L56" s="71">
        <f ca="1">OFFSET($H$17,L55,)</f>
        <v>5</v>
      </c>
      <c r="M56" s="71">
        <f ca="1">OFFSET($H$17,M55,)</f>
        <v>120</v>
      </c>
    </row>
    <row r="57" spans="5:13" x14ac:dyDescent="0.2">
      <c r="G57" s="50" t="s">
        <v>135</v>
      </c>
      <c r="H57" s="50"/>
      <c r="I57" s="74">
        <f>1/(1+$H53)^I55</f>
        <v>1</v>
      </c>
      <c r="J57" s="74">
        <f>1/(1+$H53)^J55</f>
        <v>0.92324651332669905</v>
      </c>
      <c r="K57" s="74">
        <f>1/(1+$H53)^K55</f>
        <v>0.85238412436990685</v>
      </c>
      <c r="L57" s="74">
        <f>1/(1+$H53)^L55</f>
        <v>0.7869606708395479</v>
      </c>
      <c r="M57" s="74">
        <f>1/(1+$H53)^M55</f>
        <v>0.72655869547785279</v>
      </c>
    </row>
    <row r="58" spans="5:13" x14ac:dyDescent="0.2">
      <c r="G58" s="50" t="str">
        <f>"Present Value of "&amp;G56</f>
        <v>Present Value of Cashflows</v>
      </c>
      <c r="H58" s="50"/>
      <c r="I58" s="72">
        <f ca="1">I56*I57</f>
        <v>-100</v>
      </c>
      <c r="J58" s="72">
        <f ca="1">J56*J57</f>
        <v>4.6162325666334949</v>
      </c>
      <c r="K58" s="72">
        <f ca="1">K56*K57</f>
        <v>4.2619206218495345</v>
      </c>
      <c r="L58" s="72">
        <f ca="1">L56*L57</f>
        <v>3.9348033541977396</v>
      </c>
      <c r="M58" s="72">
        <f ca="1">M56*M57</f>
        <v>87.187043457342341</v>
      </c>
    </row>
    <row r="59" spans="5:13" x14ac:dyDescent="0.2">
      <c r="G59" s="50"/>
      <c r="H59" s="50"/>
      <c r="I59" s="50"/>
      <c r="J59" s="50"/>
      <c r="K59" s="50"/>
      <c r="L59" s="50"/>
      <c r="M59" s="50"/>
    </row>
    <row r="60" spans="5:13" ht="12.75" thickBot="1" x14ac:dyDescent="0.25">
      <c r="G60" s="63" t="s">
        <v>136</v>
      </c>
      <c r="H60" s="50"/>
      <c r="I60" s="73">
        <f ca="1">SUM(I58:M58)</f>
        <v>2.312106062163366E-11</v>
      </c>
      <c r="J60" s="50"/>
      <c r="K60" s="50"/>
      <c r="L60" s="50"/>
      <c r="M60" s="50"/>
    </row>
    <row r="61" spans="5:13" ht="12.75" thickTop="1" x14ac:dyDescent="0.2"/>
    <row r="62" spans="5:13" x14ac:dyDescent="0.2">
      <c r="G62" t="str">
        <f>G31</f>
        <v>Accuracy Factor</v>
      </c>
      <c r="I62">
        <f ca="1">ABS(I47/I60)</f>
        <v>236138215.29563615</v>
      </c>
    </row>
    <row r="63" spans="5:13" x14ac:dyDescent="0.2"/>
    <row r="64" spans="5:13" x14ac:dyDescent="0.2"/>
  </sheetData>
  <mergeCells count="1">
    <mergeCell ref="A3:E3"/>
  </mergeCells>
  <conditionalFormatting sqref="I4">
    <cfRule type="cellIs" dxfId="8" priority="1" operator="notEqual">
      <formula>0</formula>
    </cfRule>
  </conditionalFormatting>
  <hyperlinks>
    <hyperlink ref="A3:E3" location="HL_Navigator" tooltip="Go to Navigator (Table of Contents)" display="Navigator" xr:uid="{7A6AC62F-AEA1-4CEE-9DB8-F2BD4877D725}"/>
    <hyperlink ref="A3" location="HL_Navigator" display="Navigator" xr:uid="{2B3CAA0B-143F-40B8-B9D3-F6EB3946B012}"/>
    <hyperlink ref="I4" location="Overall_Error_Check" tooltip="Go to Overall Error Check" display="Overall_Error_Check" xr:uid="{941054EB-FC23-487F-BA3D-222AC9E59A9C}"/>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552D5-A296-4F2D-B0AB-C0F4047E4589}">
  <dimension ref="A1:X60"/>
  <sheetViews>
    <sheetView showGridLines="0" workbookViewId="0">
      <pane ySplit="4" topLeftCell="A5" activePane="bottomLeft" state="frozen"/>
      <selection pane="bottomLeft" activeCell="A5" sqref="A5"/>
    </sheetView>
  </sheetViews>
  <sheetFormatPr defaultColWidth="0" defaultRowHeight="12" zeroHeight="1" x14ac:dyDescent="0.2"/>
  <cols>
    <col min="1" max="4" width="3.7109375" customWidth="1"/>
    <col min="5" max="5" width="15.5703125" customWidth="1"/>
    <col min="6" max="6" width="20.85546875" customWidth="1"/>
    <col min="7" max="17" width="10.7109375" customWidth="1"/>
    <col min="18" max="20" width="9" customWidth="1"/>
    <col min="21" max="21" width="11.7109375" customWidth="1"/>
    <col min="22" max="24" width="9" customWidth="1"/>
    <col min="25" max="16384" width="9" hidden="1"/>
  </cols>
  <sheetData>
    <row r="1" spans="1:23" ht="20.25" x14ac:dyDescent="0.3">
      <c r="A1" s="14" t="str">
        <f ca="1">IF(ISERROR(RIGHT(CELL("filename",A1),LEN(CELL("filename",A1))-FIND("]",CELL("filename",A1)))),
"",
RIGHT(CELL("filename",A1),LEN(CELL("filename",A1))-FIND("]",CELL("filename",A1))))</f>
        <v>XIRR Examples</v>
      </c>
      <c r="B1" s="53"/>
      <c r="C1" s="53"/>
      <c r="D1" s="53"/>
      <c r="E1" s="53"/>
      <c r="F1" s="53"/>
      <c r="G1" s="53"/>
      <c r="H1" s="53"/>
      <c r="I1" s="53"/>
      <c r="J1" s="53"/>
      <c r="K1" s="53"/>
      <c r="L1" s="53"/>
      <c r="M1" s="53"/>
      <c r="N1" s="53"/>
      <c r="O1" s="53"/>
      <c r="P1" s="53"/>
      <c r="Q1" s="53"/>
    </row>
    <row r="2" spans="1:23" ht="18" x14ac:dyDescent="0.25">
      <c r="A2" s="16" t="str">
        <f ca="1">Model_Name</f>
        <v>Chapter 7.5 - SP Internal Rate of Return Summary Examples.xlsx</v>
      </c>
      <c r="B2" s="53"/>
      <c r="C2" s="53"/>
      <c r="D2" s="53"/>
      <c r="E2" s="53"/>
      <c r="F2" s="53"/>
      <c r="G2" s="53"/>
      <c r="H2" s="53"/>
      <c r="I2" s="53"/>
      <c r="J2" s="53"/>
      <c r="K2" s="53"/>
      <c r="L2" s="53"/>
      <c r="M2" s="53"/>
      <c r="N2" s="53"/>
      <c r="O2" s="53"/>
      <c r="P2" s="53"/>
      <c r="Q2" s="53"/>
    </row>
    <row r="3" spans="1:23" x14ac:dyDescent="0.2">
      <c r="A3" s="91" t="s">
        <v>1</v>
      </c>
      <c r="B3" s="91"/>
      <c r="C3" s="91"/>
      <c r="D3" s="91"/>
      <c r="E3" s="91"/>
      <c r="F3" s="53"/>
      <c r="G3" s="53"/>
      <c r="H3" s="53"/>
      <c r="I3" s="53"/>
      <c r="J3" s="53"/>
      <c r="K3" s="53"/>
      <c r="L3" s="53"/>
      <c r="M3" s="53"/>
      <c r="N3" s="53"/>
      <c r="O3" s="53"/>
      <c r="P3" s="53"/>
      <c r="Q3" s="53"/>
    </row>
    <row r="4" spans="1:23" ht="14.25" x14ac:dyDescent="0.2">
      <c r="A4" s="53"/>
      <c r="B4" s="53"/>
      <c r="C4" s="53"/>
      <c r="D4" s="53"/>
      <c r="E4" s="53" t="s">
        <v>2</v>
      </c>
      <c r="F4" s="53"/>
      <c r="G4" s="53"/>
      <c r="H4" s="53"/>
      <c r="I4" s="1">
        <f>Overall_Error_Check</f>
        <v>0</v>
      </c>
      <c r="J4" s="53"/>
      <c r="K4" s="53"/>
      <c r="L4" s="53"/>
      <c r="M4" s="53"/>
      <c r="N4" s="53"/>
      <c r="O4" s="53"/>
      <c r="P4" s="53"/>
      <c r="Q4" s="53"/>
    </row>
    <row r="5" spans="1:23" x14ac:dyDescent="0.2">
      <c r="A5" s="52"/>
      <c r="B5" s="53"/>
      <c r="C5" s="53"/>
      <c r="D5" s="53"/>
      <c r="E5" s="53"/>
      <c r="F5" s="53"/>
      <c r="G5" s="53"/>
      <c r="H5" s="53"/>
      <c r="I5" s="53"/>
      <c r="J5" s="53"/>
      <c r="K5" s="53"/>
      <c r="L5" s="53"/>
      <c r="M5" s="53"/>
      <c r="N5" s="53"/>
      <c r="O5" s="53"/>
      <c r="P5" s="53"/>
      <c r="Q5" s="53"/>
    </row>
    <row r="6" spans="1:23" ht="16.5" thickBot="1" x14ac:dyDescent="0.3">
      <c r="A6" s="53"/>
      <c r="B6" s="41">
        <f>MAX($B$5:$B5)+1</f>
        <v>1</v>
      </c>
      <c r="C6" s="2" t="s">
        <v>145</v>
      </c>
      <c r="D6" s="2"/>
      <c r="E6" s="2"/>
      <c r="F6" s="2"/>
      <c r="G6" s="2"/>
      <c r="H6" s="2"/>
      <c r="I6" s="2"/>
      <c r="J6" s="2"/>
      <c r="K6" s="2"/>
      <c r="L6" s="2"/>
      <c r="M6" s="2"/>
      <c r="N6" s="2"/>
      <c r="O6" s="2"/>
      <c r="P6" s="2"/>
      <c r="Q6" s="2"/>
      <c r="R6" s="2"/>
      <c r="S6" s="2"/>
      <c r="T6" s="2"/>
      <c r="U6" s="2"/>
      <c r="V6" s="2"/>
      <c r="W6" s="2"/>
    </row>
    <row r="7" spans="1:23" ht="12.75" thickTop="1" x14ac:dyDescent="0.2"/>
    <row r="8" spans="1:23" ht="16.5" x14ac:dyDescent="0.25">
      <c r="C8" s="3" t="s">
        <v>103</v>
      </c>
      <c r="D8" s="50"/>
      <c r="E8" s="50"/>
      <c r="F8" s="50"/>
      <c r="G8" s="50"/>
      <c r="H8" s="50"/>
      <c r="I8" s="50"/>
      <c r="J8" s="50"/>
      <c r="K8" s="50"/>
      <c r="L8" s="50"/>
      <c r="M8" s="50"/>
      <c r="N8" s="50"/>
      <c r="O8" s="50"/>
      <c r="P8" s="50"/>
      <c r="Q8" s="50"/>
      <c r="R8" s="50"/>
      <c r="S8" s="50"/>
      <c r="T8" s="50"/>
    </row>
    <row r="9" spans="1:23" x14ac:dyDescent="0.2">
      <c r="C9" s="50"/>
      <c r="D9" s="50"/>
      <c r="E9" s="50"/>
      <c r="F9" s="50"/>
      <c r="G9" s="50"/>
      <c r="H9" s="50"/>
      <c r="I9" s="50"/>
      <c r="J9" s="50"/>
      <c r="K9" s="50"/>
      <c r="L9" s="50"/>
      <c r="M9" s="50"/>
      <c r="N9" s="50"/>
      <c r="O9" s="50"/>
      <c r="P9" s="50"/>
      <c r="Q9" s="50"/>
      <c r="R9" s="50"/>
      <c r="S9" s="50"/>
      <c r="T9" s="50"/>
    </row>
    <row r="10" spans="1:23" ht="15" x14ac:dyDescent="0.25">
      <c r="C10" s="50"/>
      <c r="D10" s="4" t="s">
        <v>102</v>
      </c>
      <c r="E10" s="50"/>
      <c r="F10" s="50"/>
      <c r="G10" s="50"/>
      <c r="H10" s="50"/>
      <c r="I10" s="50"/>
      <c r="J10" s="50"/>
      <c r="K10" s="50"/>
      <c r="L10" s="50"/>
      <c r="M10" s="50"/>
      <c r="N10" s="50"/>
      <c r="O10" s="50"/>
      <c r="P10" s="50"/>
      <c r="Q10" s="50"/>
      <c r="R10" s="50"/>
      <c r="S10" s="50"/>
      <c r="T10" s="50"/>
    </row>
    <row r="11" spans="1:23" x14ac:dyDescent="0.2">
      <c r="C11" s="50"/>
      <c r="D11" s="50"/>
      <c r="E11" s="50"/>
      <c r="F11" s="50"/>
      <c r="G11" s="50"/>
      <c r="H11" s="50"/>
      <c r="I11" s="50"/>
      <c r="J11" s="50"/>
      <c r="K11" s="50"/>
      <c r="L11" s="50"/>
      <c r="M11" s="50"/>
      <c r="N11" s="50"/>
      <c r="O11" s="50"/>
      <c r="P11" s="50"/>
      <c r="Q11" s="50"/>
      <c r="R11" s="50"/>
      <c r="S11" s="50"/>
      <c r="T11" s="50"/>
    </row>
    <row r="12" spans="1:23" x14ac:dyDescent="0.2">
      <c r="C12" s="50"/>
      <c r="D12" s="50"/>
      <c r="E12" s="50" t="s">
        <v>13</v>
      </c>
      <c r="F12" s="53">
        <f>Months_in_Year</f>
        <v>12</v>
      </c>
      <c r="G12" s="50"/>
      <c r="H12" s="50"/>
      <c r="I12" s="50"/>
      <c r="J12" s="50"/>
      <c r="K12" s="50"/>
      <c r="L12" s="50"/>
      <c r="M12" s="50"/>
      <c r="N12" s="50"/>
      <c r="O12" s="50"/>
      <c r="P12" s="50"/>
      <c r="Q12" s="50"/>
      <c r="R12" s="50"/>
      <c r="S12" s="50"/>
      <c r="T12" s="50"/>
    </row>
    <row r="13" spans="1:23" x14ac:dyDescent="0.2">
      <c r="C13" s="50"/>
      <c r="D13" s="50"/>
      <c r="E13" s="50" t="s">
        <v>9</v>
      </c>
      <c r="F13" s="50">
        <f>Days_in_Year</f>
        <v>365</v>
      </c>
      <c r="G13" s="50"/>
      <c r="H13" s="50"/>
      <c r="I13" s="50"/>
      <c r="J13" s="50"/>
      <c r="K13" s="50"/>
      <c r="L13" s="50"/>
      <c r="M13" s="50"/>
      <c r="N13" s="50"/>
      <c r="O13" s="50"/>
      <c r="P13" s="50"/>
      <c r="Q13" s="50"/>
      <c r="R13" s="50"/>
      <c r="S13" s="50"/>
      <c r="T13" s="50"/>
    </row>
    <row r="14" spans="1:23" x14ac:dyDescent="0.2">
      <c r="C14" s="50"/>
      <c r="D14" s="50"/>
      <c r="E14" s="50"/>
      <c r="F14" s="50"/>
      <c r="G14" s="50"/>
      <c r="H14" s="50"/>
      <c r="I14" s="50"/>
      <c r="J14" s="50"/>
      <c r="K14" s="50"/>
      <c r="L14" s="50"/>
      <c r="M14" s="50"/>
      <c r="N14" s="50"/>
      <c r="O14" s="50"/>
      <c r="P14" s="50"/>
      <c r="Q14" s="50"/>
      <c r="R14" s="50"/>
      <c r="S14" s="50"/>
      <c r="T14" s="50"/>
    </row>
    <row r="15" spans="1:23" x14ac:dyDescent="0.2">
      <c r="C15" s="50"/>
      <c r="D15" s="50"/>
      <c r="E15" s="50"/>
      <c r="F15" s="50"/>
      <c r="G15" s="59">
        <v>44197</v>
      </c>
      <c r="H15" s="59">
        <f>EOMONTH(G15,0)+1</f>
        <v>44228</v>
      </c>
      <c r="I15" s="59">
        <f t="shared" ref="I15:R15" si="0">EOMONTH(H15,0)+1</f>
        <v>44256</v>
      </c>
      <c r="J15" s="59">
        <f t="shared" si="0"/>
        <v>44287</v>
      </c>
      <c r="K15" s="59">
        <f t="shared" si="0"/>
        <v>44317</v>
      </c>
      <c r="L15" s="59">
        <f t="shared" si="0"/>
        <v>44348</v>
      </c>
      <c r="M15" s="59">
        <f t="shared" si="0"/>
        <v>44378</v>
      </c>
      <c r="N15" s="59">
        <f t="shared" si="0"/>
        <v>44409</v>
      </c>
      <c r="O15" s="59">
        <f t="shared" si="0"/>
        <v>44440</v>
      </c>
      <c r="P15" s="59">
        <f t="shared" si="0"/>
        <v>44470</v>
      </c>
      <c r="Q15" s="59">
        <f t="shared" si="0"/>
        <v>44501</v>
      </c>
      <c r="R15" s="59">
        <f t="shared" si="0"/>
        <v>44531</v>
      </c>
      <c r="S15" s="64"/>
      <c r="T15" s="64" t="s">
        <v>100</v>
      </c>
      <c r="U15" s="64" t="s">
        <v>98</v>
      </c>
      <c r="V15" s="64" t="s">
        <v>137</v>
      </c>
    </row>
    <row r="16" spans="1:23" x14ac:dyDescent="0.2">
      <c r="C16" s="50"/>
      <c r="D16" s="50"/>
      <c r="E16" s="50"/>
      <c r="F16" s="62">
        <v>1</v>
      </c>
      <c r="G16" s="60">
        <v>-100</v>
      </c>
      <c r="H16" s="60">
        <v>-100</v>
      </c>
      <c r="I16" s="60">
        <v>-100</v>
      </c>
      <c r="J16" s="60">
        <v>-100</v>
      </c>
      <c r="K16" s="60">
        <v>-100</v>
      </c>
      <c r="L16" s="60">
        <v>-100</v>
      </c>
      <c r="M16" s="60">
        <v>-100</v>
      </c>
      <c r="N16" s="60">
        <v>-100</v>
      </c>
      <c r="O16" s="60">
        <v>-100</v>
      </c>
      <c r="P16" s="60">
        <v>-100</v>
      </c>
      <c r="Q16" s="60">
        <v>-100</v>
      </c>
      <c r="R16" s="60">
        <v>2000</v>
      </c>
      <c r="S16" s="55"/>
      <c r="T16" s="55">
        <f t="shared" ref="T16:T40" si="1">XIRR($G16:$R16,$G$15:$R$15)</f>
        <v>2.0333542585372921</v>
      </c>
      <c r="U16" s="55">
        <f t="shared" ref="U16:U40" si="2">(1+IRR(G16:R16))^Months_in_Year-1</f>
        <v>2.0365825423413417</v>
      </c>
      <c r="V16" s="55">
        <v>2.0333542446280193</v>
      </c>
    </row>
    <row r="17" spans="3:22" x14ac:dyDescent="0.2">
      <c r="C17" s="50"/>
      <c r="D17" s="50"/>
      <c r="E17" s="50"/>
      <c r="F17" s="62">
        <v>2</v>
      </c>
      <c r="G17" s="61">
        <f t="shared" ref="G17:Q26" si="3">G$16</f>
        <v>-100</v>
      </c>
      <c r="H17" s="61">
        <f t="shared" si="3"/>
        <v>-100</v>
      </c>
      <c r="I17" s="61">
        <f t="shared" si="3"/>
        <v>-100</v>
      </c>
      <c r="J17" s="61">
        <f t="shared" si="3"/>
        <v>-100</v>
      </c>
      <c r="K17" s="61">
        <f t="shared" si="3"/>
        <v>-100</v>
      </c>
      <c r="L17" s="61">
        <f t="shared" si="3"/>
        <v>-100</v>
      </c>
      <c r="M17" s="61">
        <f t="shared" si="3"/>
        <v>-100</v>
      </c>
      <c r="N17" s="61">
        <f t="shared" si="3"/>
        <v>-100</v>
      </c>
      <c r="O17" s="61">
        <f t="shared" si="3"/>
        <v>-100</v>
      </c>
      <c r="P17" s="61">
        <f t="shared" si="3"/>
        <v>-100</v>
      </c>
      <c r="Q17" s="61">
        <f t="shared" si="3"/>
        <v>-100</v>
      </c>
      <c r="R17" s="60">
        <v>1800</v>
      </c>
      <c r="S17" s="55"/>
      <c r="T17" s="55">
        <f t="shared" si="1"/>
        <v>1.5214951157569887</v>
      </c>
      <c r="U17" s="55">
        <f t="shared" si="2"/>
        <v>1.5238593863071661</v>
      </c>
      <c r="V17" s="55">
        <v>1.5214951135107559</v>
      </c>
    </row>
    <row r="18" spans="3:22" x14ac:dyDescent="0.2">
      <c r="C18" s="50"/>
      <c r="D18" s="50"/>
      <c r="E18" s="50"/>
      <c r="F18" s="62">
        <v>3</v>
      </c>
      <c r="G18" s="61">
        <f t="shared" si="3"/>
        <v>-100</v>
      </c>
      <c r="H18" s="61">
        <f t="shared" si="3"/>
        <v>-100</v>
      </c>
      <c r="I18" s="61">
        <f t="shared" si="3"/>
        <v>-100</v>
      </c>
      <c r="J18" s="61">
        <f t="shared" si="3"/>
        <v>-100</v>
      </c>
      <c r="K18" s="61">
        <f t="shared" si="3"/>
        <v>-100</v>
      </c>
      <c r="L18" s="61">
        <f t="shared" si="3"/>
        <v>-100</v>
      </c>
      <c r="M18" s="61">
        <f t="shared" si="3"/>
        <v>-100</v>
      </c>
      <c r="N18" s="61">
        <f t="shared" si="3"/>
        <v>-100</v>
      </c>
      <c r="O18" s="61">
        <f t="shared" si="3"/>
        <v>-100</v>
      </c>
      <c r="P18" s="61">
        <f t="shared" si="3"/>
        <v>-100</v>
      </c>
      <c r="Q18" s="61">
        <f t="shared" si="3"/>
        <v>-100</v>
      </c>
      <c r="R18" s="60">
        <v>1600</v>
      </c>
      <c r="S18" s="55"/>
      <c r="T18" s="55">
        <f t="shared" si="1"/>
        <v>1.0407869935035707</v>
      </c>
      <c r="U18" s="55">
        <f t="shared" si="2"/>
        <v>1.0423498153864794</v>
      </c>
      <c r="V18" s="55">
        <v>1.040786982315054</v>
      </c>
    </row>
    <row r="19" spans="3:22" x14ac:dyDescent="0.2">
      <c r="C19" s="50"/>
      <c r="D19" s="50"/>
      <c r="E19" s="50"/>
      <c r="F19" s="62">
        <v>4</v>
      </c>
      <c r="G19" s="61">
        <f t="shared" si="3"/>
        <v>-100</v>
      </c>
      <c r="H19" s="61">
        <f t="shared" si="3"/>
        <v>-100</v>
      </c>
      <c r="I19" s="61">
        <f t="shared" si="3"/>
        <v>-100</v>
      </c>
      <c r="J19" s="61">
        <f t="shared" si="3"/>
        <v>-100</v>
      </c>
      <c r="K19" s="61">
        <f t="shared" si="3"/>
        <v>-100</v>
      </c>
      <c r="L19" s="61">
        <f t="shared" si="3"/>
        <v>-100</v>
      </c>
      <c r="M19" s="61">
        <f t="shared" si="3"/>
        <v>-100</v>
      </c>
      <c r="N19" s="61">
        <f t="shared" si="3"/>
        <v>-100</v>
      </c>
      <c r="O19" s="61">
        <f t="shared" si="3"/>
        <v>-100</v>
      </c>
      <c r="P19" s="61">
        <f t="shared" si="3"/>
        <v>-100</v>
      </c>
      <c r="Q19" s="61">
        <f t="shared" si="3"/>
        <v>-100</v>
      </c>
      <c r="R19" s="60">
        <v>1400</v>
      </c>
      <c r="S19" s="55"/>
      <c r="T19" s="55">
        <f t="shared" si="1"/>
        <v>0.5946572482585909</v>
      </c>
      <c r="U19" s="55">
        <f t="shared" si="2"/>
        <v>0.59550453228142741</v>
      </c>
      <c r="V19" s="55">
        <v>0.59465724367867356</v>
      </c>
    </row>
    <row r="20" spans="3:22" x14ac:dyDescent="0.2">
      <c r="C20" s="50"/>
      <c r="D20" s="50"/>
      <c r="E20" s="50"/>
      <c r="F20" s="62">
        <v>5</v>
      </c>
      <c r="G20" s="61">
        <f t="shared" si="3"/>
        <v>-100</v>
      </c>
      <c r="H20" s="61">
        <f t="shared" si="3"/>
        <v>-100</v>
      </c>
      <c r="I20" s="61">
        <f t="shared" si="3"/>
        <v>-100</v>
      </c>
      <c r="J20" s="61">
        <f t="shared" si="3"/>
        <v>-100</v>
      </c>
      <c r="K20" s="61">
        <f t="shared" si="3"/>
        <v>-100</v>
      </c>
      <c r="L20" s="61">
        <f t="shared" si="3"/>
        <v>-100</v>
      </c>
      <c r="M20" s="61">
        <f t="shared" si="3"/>
        <v>-100</v>
      </c>
      <c r="N20" s="61">
        <f t="shared" si="3"/>
        <v>-100</v>
      </c>
      <c r="O20" s="61">
        <f t="shared" si="3"/>
        <v>-100</v>
      </c>
      <c r="P20" s="61">
        <f t="shared" si="3"/>
        <v>-100</v>
      </c>
      <c r="Q20" s="61">
        <f t="shared" si="3"/>
        <v>-100</v>
      </c>
      <c r="R20" s="60">
        <v>1100</v>
      </c>
      <c r="S20" s="55"/>
      <c r="T20" s="55">
        <f t="shared" si="1"/>
        <v>2.9802322387695314E-9</v>
      </c>
      <c r="U20" s="55">
        <f t="shared" si="2"/>
        <v>-5.3290705182007514E-15</v>
      </c>
      <c r="V20" s="55">
        <v>8.0806775315246864E-13</v>
      </c>
    </row>
    <row r="21" spans="3:22" x14ac:dyDescent="0.2">
      <c r="C21" s="50"/>
      <c r="D21" s="50"/>
      <c r="E21" s="50"/>
      <c r="F21" s="62">
        <v>6</v>
      </c>
      <c r="G21" s="61">
        <f t="shared" si="3"/>
        <v>-100</v>
      </c>
      <c r="H21" s="61">
        <f t="shared" si="3"/>
        <v>-100</v>
      </c>
      <c r="I21" s="61">
        <f t="shared" si="3"/>
        <v>-100</v>
      </c>
      <c r="J21" s="61">
        <f t="shared" si="3"/>
        <v>-100</v>
      </c>
      <c r="K21" s="61">
        <f t="shared" si="3"/>
        <v>-100</v>
      </c>
      <c r="L21" s="61">
        <f t="shared" si="3"/>
        <v>-100</v>
      </c>
      <c r="M21" s="61">
        <f t="shared" si="3"/>
        <v>-100</v>
      </c>
      <c r="N21" s="61">
        <f t="shared" si="3"/>
        <v>-100</v>
      </c>
      <c r="O21" s="61">
        <f t="shared" si="3"/>
        <v>-100</v>
      </c>
      <c r="P21" s="61">
        <f t="shared" si="3"/>
        <v>-100</v>
      </c>
      <c r="Q21" s="61">
        <f t="shared" si="3"/>
        <v>-100</v>
      </c>
      <c r="R21" s="60">
        <v>1000</v>
      </c>
      <c r="S21" s="55"/>
      <c r="T21" s="55">
        <f t="shared" si="1"/>
        <v>-0.17548887841403485</v>
      </c>
      <c r="U21" s="55">
        <f t="shared" si="2"/>
        <v>-0.17569288110767578</v>
      </c>
      <c r="V21" s="55">
        <v>-0.17548887917264311</v>
      </c>
    </row>
    <row r="22" spans="3:22" x14ac:dyDescent="0.2">
      <c r="C22" s="50"/>
      <c r="D22" s="50"/>
      <c r="E22" s="50"/>
      <c r="F22" s="62">
        <v>7</v>
      </c>
      <c r="G22" s="61">
        <f t="shared" si="3"/>
        <v>-100</v>
      </c>
      <c r="H22" s="61">
        <f t="shared" si="3"/>
        <v>-100</v>
      </c>
      <c r="I22" s="61">
        <f t="shared" si="3"/>
        <v>-100</v>
      </c>
      <c r="J22" s="61">
        <f t="shared" si="3"/>
        <v>-100</v>
      </c>
      <c r="K22" s="61">
        <f t="shared" si="3"/>
        <v>-100</v>
      </c>
      <c r="L22" s="61">
        <f t="shared" si="3"/>
        <v>-100</v>
      </c>
      <c r="M22" s="61">
        <f t="shared" si="3"/>
        <v>-100</v>
      </c>
      <c r="N22" s="61">
        <f t="shared" si="3"/>
        <v>-100</v>
      </c>
      <c r="O22" s="61">
        <f t="shared" si="3"/>
        <v>-100</v>
      </c>
      <c r="P22" s="61">
        <f t="shared" si="3"/>
        <v>-100</v>
      </c>
      <c r="Q22" s="61">
        <f t="shared" si="3"/>
        <v>-100</v>
      </c>
      <c r="R22" s="60">
        <v>912.93</v>
      </c>
      <c r="S22" s="55"/>
      <c r="T22" s="55">
        <f t="shared" si="1"/>
        <v>-0.31783618517220036</v>
      </c>
      <c r="U22" s="55">
        <f t="shared" si="2"/>
        <v>-0.31817897124937167</v>
      </c>
      <c r="V22" s="55">
        <v>-0.31783618621613602</v>
      </c>
    </row>
    <row r="23" spans="3:22" x14ac:dyDescent="0.2">
      <c r="C23" s="50"/>
      <c r="D23" s="50"/>
      <c r="E23" s="50"/>
      <c r="F23" s="62">
        <v>8</v>
      </c>
      <c r="G23" s="61">
        <f t="shared" si="3"/>
        <v>-100</v>
      </c>
      <c r="H23" s="61">
        <f t="shared" si="3"/>
        <v>-100</v>
      </c>
      <c r="I23" s="61">
        <f t="shared" si="3"/>
        <v>-100</v>
      </c>
      <c r="J23" s="61">
        <f t="shared" si="3"/>
        <v>-100</v>
      </c>
      <c r="K23" s="61">
        <f t="shared" si="3"/>
        <v>-100</v>
      </c>
      <c r="L23" s="61">
        <f t="shared" si="3"/>
        <v>-100</v>
      </c>
      <c r="M23" s="61">
        <f t="shared" si="3"/>
        <v>-100</v>
      </c>
      <c r="N23" s="61">
        <f t="shared" si="3"/>
        <v>-100</v>
      </c>
      <c r="O23" s="61">
        <f t="shared" si="3"/>
        <v>-100</v>
      </c>
      <c r="P23" s="61">
        <f t="shared" si="3"/>
        <v>-100</v>
      </c>
      <c r="Q23" s="61">
        <f t="shared" si="3"/>
        <v>-100</v>
      </c>
      <c r="R23" s="60">
        <v>912.92</v>
      </c>
      <c r="S23" s="55"/>
      <c r="T23" s="55">
        <f t="shared" si="1"/>
        <v>-0.31785194650292403</v>
      </c>
      <c r="U23" s="55">
        <f t="shared" si="2"/>
        <v>-0.31819474551152938</v>
      </c>
      <c r="V23" s="55">
        <v>-0.31785194631638325</v>
      </c>
    </row>
    <row r="24" spans="3:22" x14ac:dyDescent="0.2">
      <c r="C24" s="50"/>
      <c r="D24" s="50"/>
      <c r="E24" s="50"/>
      <c r="F24" s="62">
        <v>9</v>
      </c>
      <c r="G24" s="61">
        <f t="shared" si="3"/>
        <v>-100</v>
      </c>
      <c r="H24" s="61">
        <f t="shared" si="3"/>
        <v>-100</v>
      </c>
      <c r="I24" s="61">
        <f t="shared" si="3"/>
        <v>-100</v>
      </c>
      <c r="J24" s="61">
        <f t="shared" si="3"/>
        <v>-100</v>
      </c>
      <c r="K24" s="61">
        <f t="shared" si="3"/>
        <v>-100</v>
      </c>
      <c r="L24" s="61">
        <f t="shared" si="3"/>
        <v>-100</v>
      </c>
      <c r="M24" s="61">
        <f t="shared" si="3"/>
        <v>-100</v>
      </c>
      <c r="N24" s="61">
        <f t="shared" si="3"/>
        <v>-100</v>
      </c>
      <c r="O24" s="61">
        <f t="shared" si="3"/>
        <v>-100</v>
      </c>
      <c r="P24" s="61">
        <f t="shared" si="3"/>
        <v>-100</v>
      </c>
      <c r="Q24" s="61">
        <f t="shared" si="3"/>
        <v>-100</v>
      </c>
      <c r="R24" s="60">
        <v>900</v>
      </c>
      <c r="S24" s="55"/>
      <c r="T24" s="55">
        <f t="shared" si="1"/>
        <v>2.9802322387695314E-9</v>
      </c>
      <c r="U24" s="55">
        <f t="shared" si="2"/>
        <v>-0.33845858160229303</v>
      </c>
      <c r="V24" s="55">
        <v>-0.33809850946813158</v>
      </c>
    </row>
    <row r="25" spans="3:22" x14ac:dyDescent="0.2">
      <c r="C25" s="50"/>
      <c r="D25" s="50"/>
      <c r="E25" s="50"/>
      <c r="F25" s="62">
        <v>10</v>
      </c>
      <c r="G25" s="61">
        <f t="shared" si="3"/>
        <v>-100</v>
      </c>
      <c r="H25" s="61">
        <f t="shared" si="3"/>
        <v>-100</v>
      </c>
      <c r="I25" s="61">
        <f t="shared" si="3"/>
        <v>-100</v>
      </c>
      <c r="J25" s="61">
        <f t="shared" si="3"/>
        <v>-100</v>
      </c>
      <c r="K25" s="61">
        <f t="shared" si="3"/>
        <v>-100</v>
      </c>
      <c r="L25" s="61">
        <f t="shared" si="3"/>
        <v>-100</v>
      </c>
      <c r="M25" s="61">
        <f t="shared" si="3"/>
        <v>-100</v>
      </c>
      <c r="N25" s="61">
        <f t="shared" si="3"/>
        <v>-100</v>
      </c>
      <c r="O25" s="61">
        <f t="shared" si="3"/>
        <v>-100</v>
      </c>
      <c r="P25" s="61">
        <f t="shared" si="3"/>
        <v>-100</v>
      </c>
      <c r="Q25" s="61">
        <f t="shared" si="3"/>
        <v>-100</v>
      </c>
      <c r="R25" s="60">
        <v>800</v>
      </c>
      <c r="S25" s="55"/>
      <c r="T25" s="55">
        <f t="shared" si="1"/>
        <v>2.9802322387695314E-9</v>
      </c>
      <c r="U25" s="55">
        <f t="shared" si="2"/>
        <v>-0.48715298776863303</v>
      </c>
      <c r="V25" s="55">
        <v>-0.48669029292639515</v>
      </c>
    </row>
    <row r="26" spans="3:22" x14ac:dyDescent="0.2">
      <c r="C26" s="50"/>
      <c r="D26" s="50"/>
      <c r="E26" s="50"/>
      <c r="F26" s="62">
        <v>11</v>
      </c>
      <c r="G26" s="61">
        <f t="shared" si="3"/>
        <v>-100</v>
      </c>
      <c r="H26" s="61">
        <f t="shared" si="3"/>
        <v>-100</v>
      </c>
      <c r="I26" s="61">
        <f t="shared" si="3"/>
        <v>-100</v>
      </c>
      <c r="J26" s="61">
        <f t="shared" si="3"/>
        <v>-100</v>
      </c>
      <c r="K26" s="61">
        <f t="shared" si="3"/>
        <v>-100</v>
      </c>
      <c r="L26" s="61">
        <f t="shared" si="3"/>
        <v>-100</v>
      </c>
      <c r="M26" s="61">
        <f t="shared" si="3"/>
        <v>-100</v>
      </c>
      <c r="N26" s="61">
        <f t="shared" si="3"/>
        <v>-100</v>
      </c>
      <c r="O26" s="61">
        <f t="shared" si="3"/>
        <v>-100</v>
      </c>
      <c r="P26" s="61">
        <f t="shared" si="3"/>
        <v>-100</v>
      </c>
      <c r="Q26" s="61">
        <f t="shared" si="3"/>
        <v>-100</v>
      </c>
      <c r="R26" s="60">
        <v>700</v>
      </c>
      <c r="S26" s="55"/>
      <c r="T26" s="55">
        <f t="shared" si="1"/>
        <v>2.9802322387695314E-9</v>
      </c>
      <c r="U26" s="55">
        <f t="shared" si="2"/>
        <v>-0.62042781667476721</v>
      </c>
      <c r="V26" s="55">
        <v>-0.61992103578860502</v>
      </c>
    </row>
    <row r="27" spans="3:22" x14ac:dyDescent="0.2">
      <c r="C27" s="50"/>
      <c r="D27" s="50"/>
      <c r="E27" s="50"/>
      <c r="F27" s="62">
        <v>12</v>
      </c>
      <c r="G27" s="61">
        <f t="shared" ref="G27:Q40" si="4">G$16</f>
        <v>-100</v>
      </c>
      <c r="H27" s="61">
        <f t="shared" si="4"/>
        <v>-100</v>
      </c>
      <c r="I27" s="61">
        <f t="shared" si="4"/>
        <v>-100</v>
      </c>
      <c r="J27" s="61">
        <f t="shared" si="4"/>
        <v>-100</v>
      </c>
      <c r="K27" s="61">
        <f t="shared" si="4"/>
        <v>-100</v>
      </c>
      <c r="L27" s="61">
        <f t="shared" si="4"/>
        <v>-100</v>
      </c>
      <c r="M27" s="61">
        <f t="shared" si="4"/>
        <v>-100</v>
      </c>
      <c r="N27" s="61">
        <f t="shared" si="4"/>
        <v>-100</v>
      </c>
      <c r="O27" s="61">
        <f t="shared" si="4"/>
        <v>-100</v>
      </c>
      <c r="P27" s="61">
        <f t="shared" si="4"/>
        <v>-100</v>
      </c>
      <c r="Q27" s="61">
        <f t="shared" si="4"/>
        <v>-100</v>
      </c>
      <c r="R27" s="60">
        <v>600</v>
      </c>
      <c r="S27" s="55"/>
      <c r="T27" s="55">
        <f t="shared" si="1"/>
        <v>2.9802322387695314E-9</v>
      </c>
      <c r="U27" s="55">
        <f t="shared" si="2"/>
        <v>-0.73668626038855334</v>
      </c>
      <c r="V27" s="55">
        <v>-0.73619743644579561</v>
      </c>
    </row>
    <row r="28" spans="3:22" x14ac:dyDescent="0.2">
      <c r="C28" s="50"/>
      <c r="D28" s="50"/>
      <c r="E28" s="50"/>
      <c r="F28" s="62">
        <v>13</v>
      </c>
      <c r="G28" s="61">
        <f t="shared" si="4"/>
        <v>-100</v>
      </c>
      <c r="H28" s="61">
        <f t="shared" si="4"/>
        <v>-100</v>
      </c>
      <c r="I28" s="61">
        <f t="shared" si="4"/>
        <v>-100</v>
      </c>
      <c r="J28" s="61">
        <f t="shared" si="4"/>
        <v>-100</v>
      </c>
      <c r="K28" s="61">
        <f t="shared" si="4"/>
        <v>-100</v>
      </c>
      <c r="L28" s="61">
        <f t="shared" si="4"/>
        <v>-100</v>
      </c>
      <c r="M28" s="61">
        <f t="shared" si="4"/>
        <v>-100</v>
      </c>
      <c r="N28" s="61">
        <f t="shared" si="4"/>
        <v>-100</v>
      </c>
      <c r="O28" s="61">
        <f t="shared" si="4"/>
        <v>-100</v>
      </c>
      <c r="P28" s="61">
        <f t="shared" si="4"/>
        <v>-100</v>
      </c>
      <c r="Q28" s="61">
        <f t="shared" si="4"/>
        <v>-100</v>
      </c>
      <c r="R28" s="60">
        <v>500</v>
      </c>
      <c r="S28" s="55"/>
      <c r="T28" s="55">
        <f t="shared" si="1"/>
        <v>2.9802322387695314E-9</v>
      </c>
      <c r="U28" s="55">
        <f t="shared" si="2"/>
        <v>-0.83404370720191712</v>
      </c>
      <c r="V28" s="55">
        <v>-0.83363433128793207</v>
      </c>
    </row>
    <row r="29" spans="3:22" x14ac:dyDescent="0.2">
      <c r="C29" s="50"/>
      <c r="D29" s="50"/>
      <c r="E29" s="50"/>
      <c r="F29" s="62">
        <v>14</v>
      </c>
      <c r="G29" s="61">
        <f t="shared" si="4"/>
        <v>-100</v>
      </c>
      <c r="H29" s="61">
        <f t="shared" si="4"/>
        <v>-100</v>
      </c>
      <c r="I29" s="61">
        <f t="shared" si="4"/>
        <v>-100</v>
      </c>
      <c r="J29" s="61">
        <f t="shared" si="4"/>
        <v>-100</v>
      </c>
      <c r="K29" s="61">
        <f t="shared" si="4"/>
        <v>-100</v>
      </c>
      <c r="L29" s="61">
        <f t="shared" si="4"/>
        <v>-100</v>
      </c>
      <c r="M29" s="61">
        <f t="shared" si="4"/>
        <v>-100</v>
      </c>
      <c r="N29" s="61">
        <f t="shared" si="4"/>
        <v>-100</v>
      </c>
      <c r="O29" s="61">
        <f t="shared" si="4"/>
        <v>-100</v>
      </c>
      <c r="P29" s="61">
        <f t="shared" si="4"/>
        <v>-100</v>
      </c>
      <c r="Q29" s="61">
        <f t="shared" si="4"/>
        <v>-100</v>
      </c>
      <c r="R29" s="60">
        <v>400</v>
      </c>
      <c r="S29" s="55"/>
      <c r="T29" s="55">
        <f t="shared" si="1"/>
        <v>2.9802322387695314E-9</v>
      </c>
      <c r="U29" s="55">
        <f t="shared" si="2"/>
        <v>-0.91033785430316305</v>
      </c>
      <c r="V29" s="55">
        <v>-0.91005959152865301</v>
      </c>
    </row>
    <row r="30" spans="3:22" x14ac:dyDescent="0.2">
      <c r="C30" s="50"/>
      <c r="D30" s="50"/>
      <c r="E30" s="50"/>
      <c r="F30" s="62">
        <v>15</v>
      </c>
      <c r="G30" s="61">
        <f t="shared" si="4"/>
        <v>-100</v>
      </c>
      <c r="H30" s="61">
        <f t="shared" si="4"/>
        <v>-100</v>
      </c>
      <c r="I30" s="61">
        <f t="shared" si="4"/>
        <v>-100</v>
      </c>
      <c r="J30" s="61">
        <f t="shared" si="4"/>
        <v>-100</v>
      </c>
      <c r="K30" s="61">
        <f t="shared" si="4"/>
        <v>-100</v>
      </c>
      <c r="L30" s="61">
        <f t="shared" si="4"/>
        <v>-100</v>
      </c>
      <c r="M30" s="61">
        <f t="shared" si="4"/>
        <v>-100</v>
      </c>
      <c r="N30" s="61">
        <f t="shared" si="4"/>
        <v>-100</v>
      </c>
      <c r="O30" s="61">
        <f t="shared" si="4"/>
        <v>-100</v>
      </c>
      <c r="P30" s="61">
        <f t="shared" si="4"/>
        <v>-100</v>
      </c>
      <c r="Q30" s="61">
        <f t="shared" si="4"/>
        <v>-100</v>
      </c>
      <c r="R30" s="60">
        <v>300</v>
      </c>
      <c r="S30" s="55"/>
      <c r="T30" s="55">
        <f t="shared" si="1"/>
        <v>2.9802322387695314E-9</v>
      </c>
      <c r="U30" s="55" t="e">
        <f t="shared" si="2"/>
        <v>#NUM!</v>
      </c>
      <c r="V30" s="55">
        <v>-0.96323076343677949</v>
      </c>
    </row>
    <row r="31" spans="3:22" x14ac:dyDescent="0.2">
      <c r="C31" s="50"/>
      <c r="D31" s="50"/>
      <c r="E31" s="50"/>
      <c r="F31" s="62">
        <v>16</v>
      </c>
      <c r="G31" s="61">
        <f t="shared" si="4"/>
        <v>-100</v>
      </c>
      <c r="H31" s="61">
        <f t="shared" si="4"/>
        <v>-100</v>
      </c>
      <c r="I31" s="61">
        <f t="shared" si="4"/>
        <v>-100</v>
      </c>
      <c r="J31" s="61">
        <f t="shared" si="4"/>
        <v>-100</v>
      </c>
      <c r="K31" s="61">
        <f t="shared" si="4"/>
        <v>-100</v>
      </c>
      <c r="L31" s="61">
        <f t="shared" si="4"/>
        <v>-100</v>
      </c>
      <c r="M31" s="61">
        <f t="shared" si="4"/>
        <v>-100</v>
      </c>
      <c r="N31" s="61">
        <f t="shared" si="4"/>
        <v>-100</v>
      </c>
      <c r="O31" s="61">
        <f t="shared" si="4"/>
        <v>-100</v>
      </c>
      <c r="P31" s="61">
        <f t="shared" si="4"/>
        <v>-100</v>
      </c>
      <c r="Q31" s="61">
        <f t="shared" si="4"/>
        <v>-100</v>
      </c>
      <c r="R31" s="60">
        <v>200</v>
      </c>
      <c r="S31" s="55"/>
      <c r="T31" s="55">
        <f t="shared" si="1"/>
        <v>2.9802322387695314E-9</v>
      </c>
      <c r="U31" s="55" t="e">
        <f t="shared" si="2"/>
        <v>#NUM!</v>
      </c>
      <c r="V31" s="55">
        <v>-0.99189887595310766</v>
      </c>
    </row>
    <row r="32" spans="3:22" x14ac:dyDescent="0.2">
      <c r="C32" s="50"/>
      <c r="D32" s="50"/>
      <c r="E32" s="50"/>
      <c r="F32" s="62">
        <v>17</v>
      </c>
      <c r="G32" s="61">
        <f t="shared" si="4"/>
        <v>-100</v>
      </c>
      <c r="H32" s="61">
        <f t="shared" si="4"/>
        <v>-100</v>
      </c>
      <c r="I32" s="61">
        <f t="shared" si="4"/>
        <v>-100</v>
      </c>
      <c r="J32" s="61">
        <f t="shared" si="4"/>
        <v>-100</v>
      </c>
      <c r="K32" s="61">
        <f t="shared" si="4"/>
        <v>-100</v>
      </c>
      <c r="L32" s="61">
        <f t="shared" si="4"/>
        <v>-100</v>
      </c>
      <c r="M32" s="61">
        <f t="shared" si="4"/>
        <v>-100</v>
      </c>
      <c r="N32" s="61">
        <f t="shared" si="4"/>
        <v>-100</v>
      </c>
      <c r="O32" s="61">
        <f t="shared" si="4"/>
        <v>-100</v>
      </c>
      <c r="P32" s="61">
        <f t="shared" si="4"/>
        <v>-100</v>
      </c>
      <c r="Q32" s="61">
        <f t="shared" si="4"/>
        <v>-100</v>
      </c>
      <c r="R32" s="60">
        <v>100</v>
      </c>
      <c r="S32" s="55"/>
      <c r="T32" s="55">
        <f t="shared" si="1"/>
        <v>2.9802322387695314E-9</v>
      </c>
      <c r="U32" s="55" t="e">
        <f t="shared" si="2"/>
        <v>#NUM!</v>
      </c>
    </row>
    <row r="33" spans="3:21" x14ac:dyDescent="0.2">
      <c r="C33" s="50"/>
      <c r="D33" s="50"/>
      <c r="E33" s="50"/>
      <c r="F33" s="62">
        <v>18</v>
      </c>
      <c r="G33" s="61">
        <f t="shared" si="4"/>
        <v>-100</v>
      </c>
      <c r="H33" s="61">
        <f t="shared" si="4"/>
        <v>-100</v>
      </c>
      <c r="I33" s="61">
        <f t="shared" si="4"/>
        <v>-100</v>
      </c>
      <c r="J33" s="61">
        <f t="shared" si="4"/>
        <v>-100</v>
      </c>
      <c r="K33" s="61">
        <f t="shared" si="4"/>
        <v>-100</v>
      </c>
      <c r="L33" s="61">
        <f t="shared" si="4"/>
        <v>-100</v>
      </c>
      <c r="M33" s="61">
        <f t="shared" si="4"/>
        <v>-100</v>
      </c>
      <c r="N33" s="61">
        <f t="shared" si="4"/>
        <v>-100</v>
      </c>
      <c r="O33" s="61">
        <f t="shared" si="4"/>
        <v>-100</v>
      </c>
      <c r="P33" s="61">
        <f t="shared" si="4"/>
        <v>-100</v>
      </c>
      <c r="Q33" s="61">
        <f t="shared" si="4"/>
        <v>-100</v>
      </c>
      <c r="R33" s="60">
        <v>0</v>
      </c>
      <c r="S33" s="55"/>
      <c r="T33" s="55" t="e">
        <f t="shared" si="1"/>
        <v>#NUM!</v>
      </c>
      <c r="U33" s="55" t="e">
        <f t="shared" si="2"/>
        <v>#NUM!</v>
      </c>
    </row>
    <row r="34" spans="3:21" x14ac:dyDescent="0.2">
      <c r="C34" s="50"/>
      <c r="D34" s="50"/>
      <c r="E34" s="50"/>
      <c r="F34" s="62">
        <v>19</v>
      </c>
      <c r="G34" s="61">
        <f t="shared" si="4"/>
        <v>-100</v>
      </c>
      <c r="H34" s="61">
        <f t="shared" si="4"/>
        <v>-100</v>
      </c>
      <c r="I34" s="61">
        <f t="shared" si="4"/>
        <v>-100</v>
      </c>
      <c r="J34" s="61">
        <f t="shared" si="4"/>
        <v>-100</v>
      </c>
      <c r="K34" s="61">
        <f t="shared" si="4"/>
        <v>-100</v>
      </c>
      <c r="L34" s="61">
        <f t="shared" si="4"/>
        <v>-100</v>
      </c>
      <c r="M34" s="61">
        <f t="shared" si="4"/>
        <v>-100</v>
      </c>
      <c r="N34" s="61">
        <f t="shared" si="4"/>
        <v>-100</v>
      </c>
      <c r="O34" s="61">
        <f t="shared" si="4"/>
        <v>-100</v>
      </c>
      <c r="P34" s="61">
        <f t="shared" si="4"/>
        <v>-100</v>
      </c>
      <c r="Q34" s="61">
        <f t="shared" si="4"/>
        <v>-100</v>
      </c>
      <c r="R34" s="60">
        <v>-100</v>
      </c>
      <c r="S34" s="55"/>
      <c r="T34" s="55" t="e">
        <f t="shared" si="1"/>
        <v>#NUM!</v>
      </c>
      <c r="U34" s="55" t="e">
        <f t="shared" si="2"/>
        <v>#NUM!</v>
      </c>
    </row>
    <row r="35" spans="3:21" x14ac:dyDescent="0.2">
      <c r="C35" s="50"/>
      <c r="D35" s="50"/>
      <c r="E35" s="50"/>
      <c r="F35" s="62">
        <v>20</v>
      </c>
      <c r="G35" s="61">
        <f t="shared" si="4"/>
        <v>-100</v>
      </c>
      <c r="H35" s="61">
        <f t="shared" si="4"/>
        <v>-100</v>
      </c>
      <c r="I35" s="61">
        <f t="shared" si="4"/>
        <v>-100</v>
      </c>
      <c r="J35" s="61">
        <f t="shared" si="4"/>
        <v>-100</v>
      </c>
      <c r="K35" s="61">
        <f t="shared" si="4"/>
        <v>-100</v>
      </c>
      <c r="L35" s="61">
        <f t="shared" si="4"/>
        <v>-100</v>
      </c>
      <c r="M35" s="61">
        <f t="shared" si="4"/>
        <v>-100</v>
      </c>
      <c r="N35" s="61">
        <f t="shared" si="4"/>
        <v>-100</v>
      </c>
      <c r="O35" s="61">
        <f t="shared" si="4"/>
        <v>-100</v>
      </c>
      <c r="P35" s="61">
        <f t="shared" si="4"/>
        <v>-100</v>
      </c>
      <c r="Q35" s="61">
        <f t="shared" si="4"/>
        <v>-100</v>
      </c>
      <c r="R35" s="60">
        <v>-200</v>
      </c>
      <c r="S35" s="55"/>
      <c r="T35" s="55" t="e">
        <f t="shared" si="1"/>
        <v>#NUM!</v>
      </c>
      <c r="U35" s="55" t="e">
        <f t="shared" si="2"/>
        <v>#NUM!</v>
      </c>
    </row>
    <row r="36" spans="3:21" x14ac:dyDescent="0.2">
      <c r="C36" s="50"/>
      <c r="D36" s="50"/>
      <c r="E36" s="50"/>
      <c r="F36" s="62">
        <v>21</v>
      </c>
      <c r="G36" s="61">
        <f t="shared" si="4"/>
        <v>-100</v>
      </c>
      <c r="H36" s="61">
        <f t="shared" si="4"/>
        <v>-100</v>
      </c>
      <c r="I36" s="61">
        <f t="shared" si="4"/>
        <v>-100</v>
      </c>
      <c r="J36" s="61">
        <f t="shared" si="4"/>
        <v>-100</v>
      </c>
      <c r="K36" s="61">
        <f t="shared" si="4"/>
        <v>-100</v>
      </c>
      <c r="L36" s="61">
        <f t="shared" si="4"/>
        <v>-100</v>
      </c>
      <c r="M36" s="61">
        <f t="shared" si="4"/>
        <v>-100</v>
      </c>
      <c r="N36" s="61">
        <f t="shared" si="4"/>
        <v>-100</v>
      </c>
      <c r="O36" s="61">
        <f t="shared" si="4"/>
        <v>-100</v>
      </c>
      <c r="P36" s="61">
        <f t="shared" si="4"/>
        <v>-100</v>
      </c>
      <c r="Q36" s="61">
        <f t="shared" si="4"/>
        <v>-100</v>
      </c>
      <c r="R36" s="60">
        <v>-1200</v>
      </c>
      <c r="S36" s="55"/>
      <c r="T36" s="55" t="e">
        <f t="shared" si="1"/>
        <v>#NUM!</v>
      </c>
      <c r="U36" s="55" t="e">
        <f t="shared" si="2"/>
        <v>#NUM!</v>
      </c>
    </row>
    <row r="37" spans="3:21" x14ac:dyDescent="0.2">
      <c r="C37" s="50"/>
      <c r="D37" s="50"/>
      <c r="E37" s="50"/>
      <c r="F37" s="62">
        <v>22</v>
      </c>
      <c r="G37" s="61">
        <f t="shared" si="4"/>
        <v>-100</v>
      </c>
      <c r="H37" s="61">
        <f t="shared" si="4"/>
        <v>-100</v>
      </c>
      <c r="I37" s="61">
        <f t="shared" si="4"/>
        <v>-100</v>
      </c>
      <c r="J37" s="61">
        <f t="shared" si="4"/>
        <v>-100</v>
      </c>
      <c r="K37" s="61">
        <f t="shared" si="4"/>
        <v>-100</v>
      </c>
      <c r="L37" s="61">
        <f t="shared" si="4"/>
        <v>-100</v>
      </c>
      <c r="M37" s="61">
        <f t="shared" si="4"/>
        <v>-100</v>
      </c>
      <c r="N37" s="61">
        <f t="shared" si="4"/>
        <v>-100</v>
      </c>
      <c r="O37" s="61">
        <f t="shared" si="4"/>
        <v>-100</v>
      </c>
      <c r="P37" s="61">
        <f t="shared" si="4"/>
        <v>-100</v>
      </c>
      <c r="Q37" s="61">
        <f t="shared" si="4"/>
        <v>-100</v>
      </c>
      <c r="R37" s="60">
        <v>-1300</v>
      </c>
      <c r="S37" s="55"/>
      <c r="T37" s="55" t="e">
        <f t="shared" si="1"/>
        <v>#NUM!</v>
      </c>
      <c r="U37" s="55" t="e">
        <f t="shared" si="2"/>
        <v>#NUM!</v>
      </c>
    </row>
    <row r="38" spans="3:21" x14ac:dyDescent="0.2">
      <c r="C38" s="50"/>
      <c r="D38" s="50"/>
      <c r="E38" s="50"/>
      <c r="F38" s="62">
        <v>23</v>
      </c>
      <c r="G38" s="61">
        <f t="shared" si="4"/>
        <v>-100</v>
      </c>
      <c r="H38" s="61">
        <f t="shared" si="4"/>
        <v>-100</v>
      </c>
      <c r="I38" s="61">
        <f t="shared" si="4"/>
        <v>-100</v>
      </c>
      <c r="J38" s="61">
        <f t="shared" si="4"/>
        <v>-100</v>
      </c>
      <c r="K38" s="61">
        <f t="shared" si="4"/>
        <v>-100</v>
      </c>
      <c r="L38" s="61">
        <f t="shared" si="4"/>
        <v>-100</v>
      </c>
      <c r="M38" s="61">
        <f t="shared" si="4"/>
        <v>-100</v>
      </c>
      <c r="N38" s="61">
        <f t="shared" si="4"/>
        <v>-100</v>
      </c>
      <c r="O38" s="61">
        <f t="shared" si="4"/>
        <v>-100</v>
      </c>
      <c r="P38" s="61">
        <f t="shared" si="4"/>
        <v>-100</v>
      </c>
      <c r="Q38" s="61">
        <f t="shared" si="4"/>
        <v>-100</v>
      </c>
      <c r="R38" s="60">
        <v>-1400</v>
      </c>
      <c r="S38" s="55"/>
      <c r="T38" s="55" t="e">
        <f t="shared" si="1"/>
        <v>#NUM!</v>
      </c>
      <c r="U38" s="55" t="e">
        <f t="shared" si="2"/>
        <v>#NUM!</v>
      </c>
    </row>
    <row r="39" spans="3:21" x14ac:dyDescent="0.2">
      <c r="C39" s="50"/>
      <c r="D39" s="50"/>
      <c r="E39" s="50"/>
      <c r="F39" s="62">
        <v>24</v>
      </c>
      <c r="G39" s="61">
        <f t="shared" si="4"/>
        <v>-100</v>
      </c>
      <c r="H39" s="61">
        <f t="shared" si="4"/>
        <v>-100</v>
      </c>
      <c r="I39" s="61">
        <f t="shared" si="4"/>
        <v>-100</v>
      </c>
      <c r="J39" s="61">
        <f t="shared" si="4"/>
        <v>-100</v>
      </c>
      <c r="K39" s="61">
        <f t="shared" si="4"/>
        <v>-100</v>
      </c>
      <c r="L39" s="61">
        <f t="shared" si="4"/>
        <v>-100</v>
      </c>
      <c r="M39" s="61">
        <f t="shared" si="4"/>
        <v>-100</v>
      </c>
      <c r="N39" s="61">
        <f t="shared" si="4"/>
        <v>-100</v>
      </c>
      <c r="O39" s="61">
        <f t="shared" si="4"/>
        <v>-100</v>
      </c>
      <c r="P39" s="61">
        <f t="shared" si="4"/>
        <v>-100</v>
      </c>
      <c r="Q39" s="61">
        <f t="shared" si="4"/>
        <v>-100</v>
      </c>
      <c r="R39" s="60">
        <v>-1500</v>
      </c>
      <c r="S39" s="55"/>
      <c r="T39" s="55" t="e">
        <f t="shared" si="1"/>
        <v>#NUM!</v>
      </c>
      <c r="U39" s="55" t="e">
        <f t="shared" si="2"/>
        <v>#NUM!</v>
      </c>
    </row>
    <row r="40" spans="3:21" x14ac:dyDescent="0.2">
      <c r="C40" s="50"/>
      <c r="D40" s="50"/>
      <c r="E40" s="50"/>
      <c r="F40" s="62">
        <v>25</v>
      </c>
      <c r="G40" s="61">
        <f t="shared" si="4"/>
        <v>-100</v>
      </c>
      <c r="H40" s="61">
        <f t="shared" si="4"/>
        <v>-100</v>
      </c>
      <c r="I40" s="61">
        <f t="shared" si="4"/>
        <v>-100</v>
      </c>
      <c r="J40" s="61">
        <f t="shared" si="4"/>
        <v>-100</v>
      </c>
      <c r="K40" s="61">
        <f t="shared" si="4"/>
        <v>-100</v>
      </c>
      <c r="L40" s="61">
        <f t="shared" si="4"/>
        <v>-100</v>
      </c>
      <c r="M40" s="61">
        <f t="shared" si="4"/>
        <v>-100</v>
      </c>
      <c r="N40" s="61">
        <f t="shared" si="4"/>
        <v>-100</v>
      </c>
      <c r="O40" s="61">
        <f t="shared" si="4"/>
        <v>-100</v>
      </c>
      <c r="P40" s="61">
        <f t="shared" si="4"/>
        <v>-100</v>
      </c>
      <c r="Q40" s="61">
        <f t="shared" si="4"/>
        <v>-100</v>
      </c>
      <c r="R40" s="60">
        <v>-1600</v>
      </c>
      <c r="S40" s="55"/>
      <c r="T40" s="55" t="e">
        <f t="shared" si="1"/>
        <v>#NUM!</v>
      </c>
      <c r="U40" s="55" t="e">
        <f t="shared" si="2"/>
        <v>#NUM!</v>
      </c>
    </row>
    <row r="41" spans="3:21" x14ac:dyDescent="0.2"/>
    <row r="42" spans="3:21" x14ac:dyDescent="0.2"/>
    <row r="43" spans="3:21" ht="15" x14ac:dyDescent="0.25">
      <c r="D43" s="4" t="s">
        <v>138</v>
      </c>
    </row>
    <row r="44" spans="3:21" x14ac:dyDescent="0.2"/>
    <row r="45" spans="3:21" x14ac:dyDescent="0.2">
      <c r="E45" t="s">
        <v>139</v>
      </c>
      <c r="F45" s="80">
        <v>7</v>
      </c>
    </row>
    <row r="46" spans="3:21" x14ac:dyDescent="0.2">
      <c r="E46" t="s">
        <v>140</v>
      </c>
      <c r="F46" s="20" t="s">
        <v>100</v>
      </c>
      <c r="G46" s="22">
        <f>MATCH($F$46,$T$15:$V$15,0)</f>
        <v>1</v>
      </c>
    </row>
    <row r="47" spans="3:21" x14ac:dyDescent="0.2">
      <c r="E47" t="s">
        <v>141</v>
      </c>
      <c r="F47" s="81">
        <f ca="1">IF(ISERROR(OFFSET($S$15,$F$45,$G$46)),,OFFSET($S$15,$F$45,$G$46))</f>
        <v>-0.31783618517220036</v>
      </c>
    </row>
    <row r="48" spans="3:21" x14ac:dyDescent="0.2"/>
    <row r="49" spans="6:18" x14ac:dyDescent="0.2">
      <c r="G49" s="59">
        <f>G15</f>
        <v>44197</v>
      </c>
      <c r="H49" s="59">
        <f t="shared" ref="H49:R49" si="5">H15</f>
        <v>44228</v>
      </c>
      <c r="I49" s="59">
        <f t="shared" si="5"/>
        <v>44256</v>
      </c>
      <c r="J49" s="59">
        <f t="shared" si="5"/>
        <v>44287</v>
      </c>
      <c r="K49" s="59">
        <f t="shared" si="5"/>
        <v>44317</v>
      </c>
      <c r="L49" s="59">
        <f t="shared" si="5"/>
        <v>44348</v>
      </c>
      <c r="M49" s="59">
        <f t="shared" si="5"/>
        <v>44378</v>
      </c>
      <c r="N49" s="59">
        <f t="shared" si="5"/>
        <v>44409</v>
      </c>
      <c r="O49" s="59">
        <f t="shared" si="5"/>
        <v>44440</v>
      </c>
      <c r="P49" s="59">
        <f t="shared" si="5"/>
        <v>44470</v>
      </c>
      <c r="Q49" s="59">
        <f t="shared" si="5"/>
        <v>44501</v>
      </c>
      <c r="R49" s="59">
        <f t="shared" si="5"/>
        <v>44531</v>
      </c>
    </row>
    <row r="50" spans="6:18" x14ac:dyDescent="0.2">
      <c r="F50" t="s">
        <v>142</v>
      </c>
      <c r="G50" s="75">
        <f t="shared" ref="G50:R50" si="6">G$49-$G$49</f>
        <v>0</v>
      </c>
      <c r="H50" s="75">
        <f t="shared" si="6"/>
        <v>31</v>
      </c>
      <c r="I50" s="75">
        <f t="shared" si="6"/>
        <v>59</v>
      </c>
      <c r="J50" s="75">
        <f t="shared" si="6"/>
        <v>90</v>
      </c>
      <c r="K50" s="75">
        <f t="shared" si="6"/>
        <v>120</v>
      </c>
      <c r="L50" s="75">
        <f t="shared" si="6"/>
        <v>151</v>
      </c>
      <c r="M50" s="75">
        <f t="shared" si="6"/>
        <v>181</v>
      </c>
      <c r="N50" s="75">
        <f t="shared" si="6"/>
        <v>212</v>
      </c>
      <c r="O50" s="75">
        <f t="shared" si="6"/>
        <v>243</v>
      </c>
      <c r="P50" s="75">
        <f t="shared" si="6"/>
        <v>273</v>
      </c>
      <c r="Q50" s="75">
        <f t="shared" si="6"/>
        <v>304</v>
      </c>
      <c r="R50" s="75">
        <f t="shared" si="6"/>
        <v>334</v>
      </c>
    </row>
    <row r="51" spans="6:18" x14ac:dyDescent="0.2"/>
    <row r="52" spans="6:18" x14ac:dyDescent="0.2">
      <c r="F52" s="76">
        <f>F45</f>
        <v>7</v>
      </c>
      <c r="G52" s="61">
        <f t="shared" ref="G52:R52" ca="1" si="7">OFFSET(G$15,$F$45,)</f>
        <v>-100</v>
      </c>
      <c r="H52" s="61">
        <f t="shared" ca="1" si="7"/>
        <v>-100</v>
      </c>
      <c r="I52" s="61">
        <f t="shared" ca="1" si="7"/>
        <v>-100</v>
      </c>
      <c r="J52" s="61">
        <f t="shared" ca="1" si="7"/>
        <v>-100</v>
      </c>
      <c r="K52" s="61">
        <f t="shared" ca="1" si="7"/>
        <v>-100</v>
      </c>
      <c r="L52" s="61">
        <f t="shared" ca="1" si="7"/>
        <v>-100</v>
      </c>
      <c r="M52" s="61">
        <f t="shared" ca="1" si="7"/>
        <v>-100</v>
      </c>
      <c r="N52" s="61">
        <f t="shared" ca="1" si="7"/>
        <v>-100</v>
      </c>
      <c r="O52" s="61">
        <f t="shared" ca="1" si="7"/>
        <v>-100</v>
      </c>
      <c r="P52" s="61">
        <f t="shared" ca="1" si="7"/>
        <v>-100</v>
      </c>
      <c r="Q52" s="61">
        <f t="shared" ca="1" si="7"/>
        <v>-100</v>
      </c>
      <c r="R52" s="61">
        <f t="shared" ca="1" si="7"/>
        <v>912.93</v>
      </c>
    </row>
    <row r="53" spans="6:18" x14ac:dyDescent="0.2"/>
    <row r="54" spans="6:18" x14ac:dyDescent="0.2">
      <c r="F54" t="s">
        <v>135</v>
      </c>
      <c r="G54" s="78">
        <f t="shared" ref="G54:R54" ca="1" si="8">1/(1+Rate_Used)^(G$50/Days_in_Year)</f>
        <v>1</v>
      </c>
      <c r="H54" s="78">
        <f t="shared" ca="1" si="8"/>
        <v>1.0330184657354158</v>
      </c>
      <c r="I54" s="78">
        <f t="shared" ca="1" si="8"/>
        <v>1.0637776734648285</v>
      </c>
      <c r="J54" s="78">
        <f t="shared" ca="1" si="8"/>
        <v>1.0989019801262274</v>
      </c>
      <c r="K54" s="78">
        <f t="shared" ca="1" si="8"/>
        <v>1.13399709304253</v>
      </c>
      <c r="L54" s="78">
        <f t="shared" ca="1" si="8"/>
        <v>1.171439937203216</v>
      </c>
      <c r="M54" s="78">
        <f t="shared" ca="1" si="8"/>
        <v>1.2088516605546391</v>
      </c>
      <c r="N54" s="78">
        <f t="shared" ca="1" si="8"/>
        <v>1.2487660876878628</v>
      </c>
      <c r="O54" s="78">
        <f t="shared" ca="1" si="8"/>
        <v>1.2899984279657339</v>
      </c>
      <c r="P54" s="78">
        <f t="shared" ca="1" si="8"/>
        <v>1.3311964977754818</v>
      </c>
      <c r="Q54" s="78">
        <f t="shared" ca="1" si="8"/>
        <v>1.3751505637243868</v>
      </c>
      <c r="R54" s="78">
        <f t="shared" ca="1" si="8"/>
        <v>1.4190680970291147</v>
      </c>
    </row>
    <row r="55" spans="6:18" x14ac:dyDescent="0.2"/>
    <row r="56" spans="6:18" x14ac:dyDescent="0.2">
      <c r="F56" t="s">
        <v>143</v>
      </c>
      <c r="G56" s="61">
        <f ca="1">G52*G54</f>
        <v>-100</v>
      </c>
      <c r="H56" s="61">
        <f t="shared" ref="H56:R56" ca="1" si="9">H52*H54</f>
        <v>-103.30184657354158</v>
      </c>
      <c r="I56" s="61">
        <f t="shared" ca="1" si="9"/>
        <v>-106.37776734648286</v>
      </c>
      <c r="J56" s="61">
        <f t="shared" ca="1" si="9"/>
        <v>-109.89019801262275</v>
      </c>
      <c r="K56" s="61">
        <f t="shared" ca="1" si="9"/>
        <v>-113.39970930425301</v>
      </c>
      <c r="L56" s="61">
        <f t="shared" ca="1" si="9"/>
        <v>-117.1439937203216</v>
      </c>
      <c r="M56" s="61">
        <f t="shared" ca="1" si="9"/>
        <v>-120.88516605546391</v>
      </c>
      <c r="N56" s="61">
        <f t="shared" ca="1" si="9"/>
        <v>-124.87660876878628</v>
      </c>
      <c r="O56" s="61">
        <f t="shared" ca="1" si="9"/>
        <v>-128.9998427965734</v>
      </c>
      <c r="P56" s="61">
        <f t="shared" ca="1" si="9"/>
        <v>-133.11964977754818</v>
      </c>
      <c r="Q56" s="61">
        <f t="shared" ca="1" si="9"/>
        <v>-137.51505637243869</v>
      </c>
      <c r="R56" s="61">
        <f t="shared" ca="1" si="9"/>
        <v>1295.5098378207897</v>
      </c>
    </row>
    <row r="57" spans="6:18" x14ac:dyDescent="0.2">
      <c r="G57" s="77"/>
    </row>
    <row r="58" spans="6:18" ht="12.75" thickBot="1" x14ac:dyDescent="0.25">
      <c r="F58" t="s">
        <v>144</v>
      </c>
      <c r="G58" s="79">
        <f ca="1">SUM(G56:R56)</f>
        <v>-9.0724256551766302E-7</v>
      </c>
    </row>
    <row r="59" spans="6:18" x14ac:dyDescent="0.2"/>
    <row r="60" spans="6:18" x14ac:dyDescent="0.2"/>
  </sheetData>
  <mergeCells count="1">
    <mergeCell ref="A3:E3"/>
  </mergeCells>
  <conditionalFormatting sqref="I4">
    <cfRule type="cellIs" dxfId="7" priority="1" operator="notEqual">
      <formula>0</formula>
    </cfRule>
  </conditionalFormatting>
  <dataValidations count="1">
    <dataValidation type="list" allowBlank="1" showInputMessage="1" showErrorMessage="1" sqref="F45" xr:uid="{4292BAE0-58C9-4829-8315-6D6F25978A01}">
      <formula1>$F$16:$F$40</formula1>
    </dataValidation>
  </dataValidations>
  <hyperlinks>
    <hyperlink ref="A3:E3" location="HL_Navigator" tooltip="Go to Navigator (Table of Contents)" display="Navigator" xr:uid="{0B5CEAD0-E6BF-47BA-886D-E19CF5A8FA9F}"/>
    <hyperlink ref="A3" location="HL_Navigator" display="Navigator" xr:uid="{EEBE6630-6DBA-42ED-A990-E1575CD37F6B}"/>
    <hyperlink ref="I4" location="Overall_Error_Check" tooltip="Go to Overall Error Check" display="Overall_Error_Check" xr:uid="{35CB9313-BE3C-4320-AFE9-2A44CA5087B7}"/>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14F89-D61F-4C0E-8186-574A76A4B897}">
  <dimension ref="A1:AA44"/>
  <sheetViews>
    <sheetView showGridLines="0" workbookViewId="0">
      <pane ySplit="4" topLeftCell="A5" activePane="bottomLeft" state="frozen"/>
      <selection pane="bottomLeft" activeCell="A5" sqref="A5"/>
    </sheetView>
  </sheetViews>
  <sheetFormatPr defaultColWidth="0" defaultRowHeight="12" zeroHeight="1" x14ac:dyDescent="0.2"/>
  <cols>
    <col min="1" max="1" width="3.7109375" customWidth="1"/>
    <col min="2" max="2" width="3.7109375" style="53" customWidth="1"/>
    <col min="3" max="4" width="3.7109375" customWidth="1"/>
    <col min="5" max="5" width="12.42578125" bestFit="1" customWidth="1"/>
    <col min="6" max="6" width="22.42578125" customWidth="1"/>
    <col min="7" max="7" width="9.28515625" bestFit="1" customWidth="1"/>
    <col min="8" max="18" width="9" customWidth="1"/>
    <col min="19" max="19" width="10.7109375" customWidth="1"/>
    <col min="20" max="20" width="3.7109375" customWidth="1"/>
    <col min="21" max="21" width="11.7109375" customWidth="1"/>
    <col min="22" max="22" width="12" bestFit="1" customWidth="1"/>
    <col min="23" max="27" width="9" customWidth="1"/>
    <col min="28" max="16384" width="9" hidden="1"/>
  </cols>
  <sheetData>
    <row r="1" spans="1:26" ht="20.25" x14ac:dyDescent="0.3">
      <c r="A1" s="14" t="str">
        <f ca="1">IF(ISERROR(RIGHT(CELL("filename",A1),LEN(CELL("filename",A1))-FIND("]",CELL("filename",A1)))),
"",
RIGHT(CELL("filename",A1),LEN(CELL("filename",A1))-FIND("]",CELL("filename",A1))))</f>
        <v>XIRR Examples_Negative Start</v>
      </c>
      <c r="C1" s="53"/>
      <c r="D1" s="53"/>
      <c r="E1" s="53"/>
      <c r="F1" s="53"/>
      <c r="G1" s="53"/>
      <c r="H1" s="53"/>
      <c r="I1" s="53"/>
      <c r="J1" s="53"/>
      <c r="K1" s="53"/>
      <c r="L1" s="53"/>
      <c r="M1" s="53"/>
      <c r="N1" s="53"/>
      <c r="O1" s="53"/>
      <c r="P1" s="53"/>
      <c r="Q1" s="53"/>
      <c r="R1" s="53"/>
      <c r="S1" s="53"/>
      <c r="T1" s="53"/>
      <c r="U1" s="53"/>
      <c r="V1" s="53"/>
    </row>
    <row r="2" spans="1:26" ht="18" x14ac:dyDescent="0.25">
      <c r="A2" s="16" t="str">
        <f ca="1">Model_Name</f>
        <v>Chapter 7.5 - SP Internal Rate of Return Summary Examples.xlsx</v>
      </c>
      <c r="C2" s="53"/>
      <c r="D2" s="53"/>
      <c r="E2" s="53"/>
      <c r="F2" s="53"/>
      <c r="G2" s="53"/>
      <c r="H2" s="53"/>
      <c r="I2" s="53"/>
      <c r="J2" s="53"/>
      <c r="K2" s="53"/>
      <c r="L2" s="53"/>
      <c r="M2" s="53"/>
      <c r="N2" s="53"/>
      <c r="O2" s="53"/>
      <c r="P2" s="53"/>
      <c r="Q2" s="53"/>
      <c r="R2" s="53"/>
      <c r="S2" s="53"/>
      <c r="T2" s="53"/>
      <c r="U2" s="53"/>
      <c r="V2" s="53"/>
    </row>
    <row r="3" spans="1:26" x14ac:dyDescent="0.2">
      <c r="A3" s="91" t="s">
        <v>1</v>
      </c>
      <c r="B3" s="91"/>
      <c r="C3" s="91"/>
      <c r="D3" s="91"/>
      <c r="E3" s="91"/>
      <c r="F3" s="53"/>
      <c r="G3" s="53"/>
      <c r="H3" s="53"/>
      <c r="I3" s="53"/>
      <c r="J3" s="53"/>
      <c r="K3" s="53"/>
      <c r="L3" s="53"/>
      <c r="M3" s="53"/>
      <c r="N3" s="53"/>
      <c r="O3" s="53"/>
      <c r="P3" s="53"/>
      <c r="Q3" s="53"/>
      <c r="R3" s="53"/>
      <c r="S3" s="53"/>
      <c r="T3" s="53"/>
      <c r="U3" s="53"/>
      <c r="V3" s="53"/>
    </row>
    <row r="4" spans="1:26" s="53" customFormat="1" ht="14.25" x14ac:dyDescent="0.2">
      <c r="E4" s="53" t="s">
        <v>2</v>
      </c>
      <c r="I4" s="1">
        <f>Overall_Error_Check</f>
        <v>0</v>
      </c>
    </row>
    <row r="5" spans="1:26" x14ac:dyDescent="0.2">
      <c r="A5" s="52"/>
      <c r="C5" s="53"/>
      <c r="D5" s="53"/>
      <c r="E5" s="53"/>
      <c r="F5" s="53"/>
      <c r="G5" s="53"/>
      <c r="H5" s="53"/>
      <c r="I5" s="53"/>
      <c r="J5" s="53"/>
      <c r="K5" s="53"/>
      <c r="L5" s="53"/>
      <c r="M5" s="53"/>
      <c r="N5" s="53"/>
      <c r="O5" s="53"/>
      <c r="P5" s="53"/>
      <c r="Q5" s="53"/>
      <c r="R5" s="53"/>
      <c r="S5" s="53"/>
      <c r="T5" s="53"/>
      <c r="U5" s="53"/>
      <c r="V5" s="53"/>
    </row>
    <row r="6" spans="1:26" ht="16.5" thickBot="1" x14ac:dyDescent="0.3">
      <c r="A6" s="53"/>
      <c r="B6" s="41">
        <f>MAX($B$5:$B5)+1</f>
        <v>1</v>
      </c>
      <c r="C6" s="2" t="s">
        <v>145</v>
      </c>
      <c r="D6" s="2"/>
      <c r="E6" s="2"/>
      <c r="F6" s="2"/>
      <c r="G6" s="2"/>
      <c r="H6" s="2"/>
      <c r="I6" s="2"/>
      <c r="J6" s="2"/>
      <c r="K6" s="2"/>
      <c r="L6" s="2"/>
      <c r="M6" s="2"/>
      <c r="N6" s="2"/>
      <c r="O6" s="2"/>
      <c r="P6" s="2"/>
      <c r="Q6" s="2"/>
      <c r="R6" s="2"/>
      <c r="S6" s="2"/>
      <c r="T6" s="2"/>
      <c r="U6" s="2"/>
      <c r="V6" s="2"/>
      <c r="W6" s="2"/>
      <c r="X6" s="2"/>
      <c r="Y6" s="2"/>
      <c r="Z6" s="2"/>
    </row>
    <row r="7" spans="1:26" ht="12.75" thickTop="1" x14ac:dyDescent="0.2"/>
    <row r="8" spans="1:26" ht="16.5" x14ac:dyDescent="0.25">
      <c r="C8" s="3" t="s">
        <v>150</v>
      </c>
    </row>
    <row r="9" spans="1:26" x14ac:dyDescent="0.2"/>
    <row r="10" spans="1:26" ht="15" x14ac:dyDescent="0.25">
      <c r="D10" s="4" t="s">
        <v>102</v>
      </c>
    </row>
    <row r="11" spans="1:26" x14ac:dyDescent="0.2"/>
    <row r="12" spans="1:26" x14ac:dyDescent="0.2">
      <c r="E12" t="s">
        <v>13</v>
      </c>
      <c r="F12">
        <f>Months_in_Year</f>
        <v>12</v>
      </c>
    </row>
    <row r="13" spans="1:26" x14ac:dyDescent="0.2">
      <c r="E13" t="s">
        <v>9</v>
      </c>
      <c r="F13">
        <f>Days_in_Year</f>
        <v>365</v>
      </c>
    </row>
    <row r="14" spans="1:26" x14ac:dyDescent="0.2">
      <c r="W14" s="86" t="s">
        <v>149</v>
      </c>
      <c r="X14" s="86"/>
      <c r="Y14" s="86"/>
    </row>
    <row r="15" spans="1:26" x14ac:dyDescent="0.2">
      <c r="G15" s="59">
        <f ca="1">EOMONTH(H15,-2)+1</f>
        <v>44166</v>
      </c>
      <c r="H15" s="59">
        <f ca="1">DATE(YEAR(TODAY())+1+IF(MOD(YEAR(TODAY()),Leap_Year_Divisor)=Leap_Year_Divisor-1,1,0),1,1)</f>
        <v>44197</v>
      </c>
      <c r="I15" s="59">
        <f ca="1">EOMONTH(H15,0)+1</f>
        <v>44228</v>
      </c>
      <c r="J15" s="59">
        <f t="shared" ref="J15:S15" ca="1" si="0">EOMONTH(I15,0)+1</f>
        <v>44256</v>
      </c>
      <c r="K15" s="59">
        <f t="shared" ca="1" si="0"/>
        <v>44287</v>
      </c>
      <c r="L15" s="59">
        <f t="shared" ca="1" si="0"/>
        <v>44317</v>
      </c>
      <c r="M15" s="59">
        <f t="shared" ca="1" si="0"/>
        <v>44348</v>
      </c>
      <c r="N15" s="59">
        <f t="shared" ca="1" si="0"/>
        <v>44378</v>
      </c>
      <c r="O15" s="59">
        <f t="shared" ca="1" si="0"/>
        <v>44409</v>
      </c>
      <c r="P15" s="59">
        <f t="shared" ca="1" si="0"/>
        <v>44440</v>
      </c>
      <c r="Q15" s="59">
        <f t="shared" ca="1" si="0"/>
        <v>44470</v>
      </c>
      <c r="R15" s="59">
        <f t="shared" ca="1" si="0"/>
        <v>44501</v>
      </c>
      <c r="S15" s="59">
        <f t="shared" ca="1" si="0"/>
        <v>44531</v>
      </c>
      <c r="U15" s="63" t="str">
        <f>'XIRR Examples'!T15</f>
        <v>XIRR</v>
      </c>
      <c r="V15" s="63" t="str">
        <f>'XIRR Examples'!U15</f>
        <v>IRR</v>
      </c>
      <c r="W15" s="87" t="str">
        <f>'XIRR Examples'!T15</f>
        <v>XIRR</v>
      </c>
      <c r="X15" s="87" t="str">
        <f>'XIRR Examples'!U15</f>
        <v>IRR</v>
      </c>
      <c r="Y15" s="87" t="str">
        <f>'XIRR Examples'!V15</f>
        <v>Goal Seek</v>
      </c>
    </row>
    <row r="16" spans="1:26" x14ac:dyDescent="0.2">
      <c r="F16" s="62">
        <v>1</v>
      </c>
      <c r="G16" s="61">
        <f>Very_small_neg_no</f>
        <v>-9.9999999999999995E-7</v>
      </c>
      <c r="H16" s="61">
        <f>-'XIRR Examples'!G16</f>
        <v>100</v>
      </c>
      <c r="I16" s="61">
        <f>-'XIRR Examples'!H16</f>
        <v>100</v>
      </c>
      <c r="J16" s="61">
        <f>-'XIRR Examples'!I16</f>
        <v>100</v>
      </c>
      <c r="K16" s="61">
        <f>-'XIRR Examples'!J16</f>
        <v>100</v>
      </c>
      <c r="L16" s="61">
        <f>-'XIRR Examples'!K16</f>
        <v>100</v>
      </c>
      <c r="M16" s="61">
        <f>-'XIRR Examples'!L16</f>
        <v>100</v>
      </c>
      <c r="N16" s="61">
        <f>-'XIRR Examples'!M16</f>
        <v>100</v>
      </c>
      <c r="O16" s="61">
        <f>-'XIRR Examples'!N16</f>
        <v>100</v>
      </c>
      <c r="P16" s="61">
        <f>-'XIRR Examples'!O16</f>
        <v>100</v>
      </c>
      <c r="Q16" s="61">
        <f>-'XIRR Examples'!P16</f>
        <v>100</v>
      </c>
      <c r="R16" s="61">
        <f>-'XIRR Examples'!Q16</f>
        <v>100</v>
      </c>
      <c r="S16" s="61">
        <f>-'XIRR Examples'!R16</f>
        <v>-2000</v>
      </c>
      <c r="U16" s="53">
        <f ca="1">XIRR($G16:$S16,$G$15:$S$15)</f>
        <v>2.9802322387695314E-9</v>
      </c>
      <c r="V16" s="55">
        <f t="shared" ref="V16:V40" si="1">(1+IRR($G16:$S16))^Months_in_Year-1</f>
        <v>2.0365825503482791</v>
      </c>
      <c r="W16" s="88">
        <f>IF('XIRR Examples'!T16="","",'XIRR Examples'!T16)</f>
        <v>2.0333542585372921</v>
      </c>
      <c r="X16" s="88">
        <f>IF('XIRR Examples'!U16="","",'XIRR Examples'!U16)</f>
        <v>2.0365825423413417</v>
      </c>
      <c r="Y16" s="88">
        <f>IF('XIRR Examples'!V16="","",'XIRR Examples'!V16)</f>
        <v>2.0333542446280193</v>
      </c>
    </row>
    <row r="17" spans="6:25" x14ac:dyDescent="0.2">
      <c r="F17" s="62">
        <v>2</v>
      </c>
      <c r="G17" s="61">
        <f t="shared" ref="G17:H40" si="2">G$16</f>
        <v>-9.9999999999999995E-7</v>
      </c>
      <c r="H17" s="61">
        <f t="shared" si="2"/>
        <v>100</v>
      </c>
      <c r="I17" s="61">
        <f t="shared" ref="I17:R32" si="3">I$16</f>
        <v>100</v>
      </c>
      <c r="J17" s="61">
        <f t="shared" si="3"/>
        <v>100</v>
      </c>
      <c r="K17" s="61">
        <f t="shared" si="3"/>
        <v>100</v>
      </c>
      <c r="L17" s="61">
        <f t="shared" si="3"/>
        <v>100</v>
      </c>
      <c r="M17" s="61">
        <f t="shared" si="3"/>
        <v>100</v>
      </c>
      <c r="N17" s="61">
        <f t="shared" si="3"/>
        <v>100</v>
      </c>
      <c r="O17" s="61">
        <f t="shared" si="3"/>
        <v>100</v>
      </c>
      <c r="P17" s="61">
        <f t="shared" si="3"/>
        <v>100</v>
      </c>
      <c r="Q17" s="61">
        <f t="shared" si="3"/>
        <v>100</v>
      </c>
      <c r="R17" s="61">
        <f t="shared" si="3"/>
        <v>100</v>
      </c>
      <c r="S17" s="61">
        <f>-'XIRR Examples'!R17</f>
        <v>-1800</v>
      </c>
      <c r="U17" s="53">
        <f t="shared" ref="U17:U19" ca="1" si="4">XIRR($G17:$S17,$G$15:$S$15)</f>
        <v>2.9802322387695314E-9</v>
      </c>
      <c r="V17" s="55">
        <f t="shared" si="1"/>
        <v>1.523859392600706</v>
      </c>
      <c r="W17" s="88">
        <f>IF('XIRR Examples'!T17="","",'XIRR Examples'!T17)</f>
        <v>1.5214951157569887</v>
      </c>
      <c r="X17" s="88">
        <f>IF('XIRR Examples'!U17="","",'XIRR Examples'!U17)</f>
        <v>1.5238593863071661</v>
      </c>
      <c r="Y17" s="88">
        <f>IF('XIRR Examples'!V17="","",'XIRR Examples'!V17)</f>
        <v>1.5214951135107559</v>
      </c>
    </row>
    <row r="18" spans="6:25" x14ac:dyDescent="0.2">
      <c r="F18" s="62">
        <v>3</v>
      </c>
      <c r="G18" s="61">
        <f t="shared" si="2"/>
        <v>-9.9999999999999995E-7</v>
      </c>
      <c r="H18" s="61">
        <f t="shared" si="2"/>
        <v>100</v>
      </c>
      <c r="I18" s="61">
        <f t="shared" si="3"/>
        <v>100</v>
      </c>
      <c r="J18" s="61">
        <f t="shared" si="3"/>
        <v>100</v>
      </c>
      <c r="K18" s="61">
        <f t="shared" si="3"/>
        <v>100</v>
      </c>
      <c r="L18" s="61">
        <f t="shared" si="3"/>
        <v>100</v>
      </c>
      <c r="M18" s="61">
        <f t="shared" si="3"/>
        <v>100</v>
      </c>
      <c r="N18" s="61">
        <f t="shared" si="3"/>
        <v>100</v>
      </c>
      <c r="O18" s="61">
        <f t="shared" si="3"/>
        <v>100</v>
      </c>
      <c r="P18" s="61">
        <f t="shared" si="3"/>
        <v>100</v>
      </c>
      <c r="Q18" s="61">
        <f t="shared" si="3"/>
        <v>100</v>
      </c>
      <c r="R18" s="61">
        <f t="shared" si="3"/>
        <v>100</v>
      </c>
      <c r="S18" s="61">
        <f>-'XIRR Examples'!R18</f>
        <v>-1600</v>
      </c>
      <c r="U18" s="53">
        <f t="shared" ca="1" si="4"/>
        <v>2.9802322387695314E-9</v>
      </c>
      <c r="V18" s="55">
        <f t="shared" si="1"/>
        <v>1.0423498201514501</v>
      </c>
      <c r="W18" s="88">
        <f>IF('XIRR Examples'!T18="","",'XIRR Examples'!T18)</f>
        <v>1.0407869935035707</v>
      </c>
      <c r="X18" s="88">
        <f>IF('XIRR Examples'!U18="","",'XIRR Examples'!U18)</f>
        <v>1.0423498153864794</v>
      </c>
      <c r="Y18" s="88">
        <f>IF('XIRR Examples'!V18="","",'XIRR Examples'!V18)</f>
        <v>1.040786982315054</v>
      </c>
    </row>
    <row r="19" spans="6:25" x14ac:dyDescent="0.2">
      <c r="F19" s="62">
        <v>4</v>
      </c>
      <c r="G19" s="61">
        <f t="shared" si="2"/>
        <v>-9.9999999999999995E-7</v>
      </c>
      <c r="H19" s="61">
        <f t="shared" si="2"/>
        <v>100</v>
      </c>
      <c r="I19" s="61">
        <f t="shared" si="3"/>
        <v>100</v>
      </c>
      <c r="J19" s="61">
        <f t="shared" si="3"/>
        <v>100</v>
      </c>
      <c r="K19" s="61">
        <f t="shared" si="3"/>
        <v>100</v>
      </c>
      <c r="L19" s="61">
        <f t="shared" si="3"/>
        <v>100</v>
      </c>
      <c r="M19" s="61">
        <f t="shared" si="3"/>
        <v>100</v>
      </c>
      <c r="N19" s="61">
        <f t="shared" si="3"/>
        <v>100</v>
      </c>
      <c r="O19" s="61">
        <f t="shared" si="3"/>
        <v>100</v>
      </c>
      <c r="P19" s="61">
        <f t="shared" si="3"/>
        <v>100</v>
      </c>
      <c r="Q19" s="61">
        <f t="shared" si="3"/>
        <v>100</v>
      </c>
      <c r="R19" s="61">
        <f t="shared" si="3"/>
        <v>100</v>
      </c>
      <c r="S19" s="61">
        <f>-'XIRR Examples'!R19</f>
        <v>-1400</v>
      </c>
      <c r="U19" s="53">
        <f t="shared" ca="1" si="4"/>
        <v>2.9802322387695314E-9</v>
      </c>
      <c r="V19" s="55">
        <f t="shared" si="1"/>
        <v>0.59550453557413308</v>
      </c>
      <c r="W19" s="88">
        <f>IF('XIRR Examples'!T19="","",'XIRR Examples'!T19)</f>
        <v>0.5946572482585909</v>
      </c>
      <c r="X19" s="88">
        <f>IF('XIRR Examples'!U19="","",'XIRR Examples'!U19)</f>
        <v>0.59550453228142741</v>
      </c>
      <c r="Y19" s="88">
        <f>IF('XIRR Examples'!V19="","",'XIRR Examples'!V19)</f>
        <v>0.59465724367867356</v>
      </c>
    </row>
    <row r="20" spans="6:25" x14ac:dyDescent="0.2">
      <c r="F20" s="62">
        <v>5</v>
      </c>
      <c r="G20" s="61">
        <f t="shared" si="2"/>
        <v>-9.9999999999999995E-7</v>
      </c>
      <c r="H20" s="61">
        <f t="shared" si="2"/>
        <v>100</v>
      </c>
      <c r="I20" s="61">
        <f t="shared" si="3"/>
        <v>100</v>
      </c>
      <c r="J20" s="61">
        <f t="shared" si="3"/>
        <v>100</v>
      </c>
      <c r="K20" s="61">
        <f t="shared" si="3"/>
        <v>100</v>
      </c>
      <c r="L20" s="61">
        <f t="shared" si="3"/>
        <v>100</v>
      </c>
      <c r="M20" s="61">
        <f t="shared" si="3"/>
        <v>100</v>
      </c>
      <c r="N20" s="61">
        <f t="shared" si="3"/>
        <v>100</v>
      </c>
      <c r="O20" s="61">
        <f t="shared" si="3"/>
        <v>100</v>
      </c>
      <c r="P20" s="61">
        <f t="shared" si="3"/>
        <v>100</v>
      </c>
      <c r="Q20" s="61">
        <f t="shared" si="3"/>
        <v>100</v>
      </c>
      <c r="R20" s="61">
        <f t="shared" si="3"/>
        <v>100</v>
      </c>
      <c r="S20" s="61">
        <f>-'XIRR Examples'!R20</f>
        <v>-1100</v>
      </c>
      <c r="U20" s="55" t="e">
        <f t="shared" ref="U20:U40" ca="1" si="5">XIRR($G20:$S20,$G$15:$S$15)</f>
        <v>#NUM!</v>
      </c>
      <c r="V20" s="53">
        <f t="shared" si="1"/>
        <v>1.8181829375407688E-9</v>
      </c>
      <c r="W20" s="88">
        <f>IF('XIRR Examples'!T20="","",'XIRR Examples'!T20)</f>
        <v>2.9802322387695314E-9</v>
      </c>
      <c r="X20" s="88">
        <f>IF('XIRR Examples'!U20="","",'XIRR Examples'!U20)</f>
        <v>-5.3290705182007514E-15</v>
      </c>
      <c r="Y20" s="88">
        <f>IF('XIRR Examples'!V20="","",'XIRR Examples'!V20)</f>
        <v>8.0806775315246864E-13</v>
      </c>
    </row>
    <row r="21" spans="6:25" x14ac:dyDescent="0.2">
      <c r="F21" s="62">
        <v>6</v>
      </c>
      <c r="G21" s="61">
        <f t="shared" si="2"/>
        <v>-9.9999999999999995E-7</v>
      </c>
      <c r="H21" s="61">
        <f t="shared" si="2"/>
        <v>100</v>
      </c>
      <c r="I21" s="61">
        <f t="shared" si="3"/>
        <v>100</v>
      </c>
      <c r="J21" s="61">
        <f t="shared" si="3"/>
        <v>100</v>
      </c>
      <c r="K21" s="61">
        <f t="shared" si="3"/>
        <v>100</v>
      </c>
      <c r="L21" s="61">
        <f t="shared" si="3"/>
        <v>100</v>
      </c>
      <c r="M21" s="61">
        <f t="shared" si="3"/>
        <v>100</v>
      </c>
      <c r="N21" s="61">
        <f t="shared" si="3"/>
        <v>100</v>
      </c>
      <c r="O21" s="61">
        <f t="shared" si="3"/>
        <v>100</v>
      </c>
      <c r="P21" s="61">
        <f t="shared" si="3"/>
        <v>100</v>
      </c>
      <c r="Q21" s="61">
        <f t="shared" si="3"/>
        <v>100</v>
      </c>
      <c r="R21" s="61">
        <f t="shared" si="3"/>
        <v>100</v>
      </c>
      <c r="S21" s="61">
        <f>-'XIRR Examples'!R21</f>
        <v>-1000</v>
      </c>
      <c r="U21" s="55" t="e">
        <f t="shared" ca="1" si="5"/>
        <v>#NUM!</v>
      </c>
      <c r="V21" s="53">
        <f t="shared" si="1"/>
        <v>-0.17569287970779812</v>
      </c>
      <c r="W21" s="88">
        <f>IF('XIRR Examples'!T21="","",'XIRR Examples'!T21)</f>
        <v>-0.17548887841403485</v>
      </c>
      <c r="X21" s="88">
        <f>IF('XIRR Examples'!U21="","",'XIRR Examples'!U21)</f>
        <v>-0.17569288110767578</v>
      </c>
      <c r="Y21" s="88">
        <f>IF('XIRR Examples'!V21="","",'XIRR Examples'!V21)</f>
        <v>-0.17548887917264311</v>
      </c>
    </row>
    <row r="22" spans="6:25" x14ac:dyDescent="0.2">
      <c r="F22" s="62">
        <v>7</v>
      </c>
      <c r="G22" s="61">
        <f t="shared" si="2"/>
        <v>-9.9999999999999995E-7</v>
      </c>
      <c r="H22" s="61">
        <f t="shared" si="2"/>
        <v>100</v>
      </c>
      <c r="I22" s="61">
        <f t="shared" si="3"/>
        <v>100</v>
      </c>
      <c r="J22" s="61">
        <f t="shared" si="3"/>
        <v>100</v>
      </c>
      <c r="K22" s="61">
        <f t="shared" si="3"/>
        <v>100</v>
      </c>
      <c r="L22" s="61">
        <f t="shared" si="3"/>
        <v>100</v>
      </c>
      <c r="M22" s="61">
        <f t="shared" si="3"/>
        <v>100</v>
      </c>
      <c r="N22" s="61">
        <f t="shared" si="3"/>
        <v>100</v>
      </c>
      <c r="O22" s="61">
        <f t="shared" si="3"/>
        <v>100</v>
      </c>
      <c r="P22" s="61">
        <f t="shared" si="3"/>
        <v>100</v>
      </c>
      <c r="Q22" s="61">
        <f t="shared" si="3"/>
        <v>100</v>
      </c>
      <c r="R22" s="61">
        <f t="shared" si="3"/>
        <v>100</v>
      </c>
      <c r="S22" s="61">
        <f>-'XIRR Examples'!R22</f>
        <v>-912.93</v>
      </c>
      <c r="U22" s="55" t="e">
        <f t="shared" ca="1" si="5"/>
        <v>#NUM!</v>
      </c>
      <c r="V22" s="53">
        <f t="shared" si="1"/>
        <v>-0.31817897017390395</v>
      </c>
      <c r="W22" s="88">
        <f>IF('XIRR Examples'!T22="","",'XIRR Examples'!T22)</f>
        <v>-0.31783618517220036</v>
      </c>
      <c r="X22" s="88">
        <f>IF('XIRR Examples'!U22="","",'XIRR Examples'!U22)</f>
        <v>-0.31817897124937167</v>
      </c>
      <c r="Y22" s="88">
        <f>IF('XIRR Examples'!V22="","",'XIRR Examples'!V22)</f>
        <v>-0.31783618621613602</v>
      </c>
    </row>
    <row r="23" spans="6:25" x14ac:dyDescent="0.2">
      <c r="F23" s="62">
        <v>8</v>
      </c>
      <c r="G23" s="61">
        <f t="shared" si="2"/>
        <v>-9.9999999999999995E-7</v>
      </c>
      <c r="H23" s="61">
        <f t="shared" si="2"/>
        <v>100</v>
      </c>
      <c r="I23" s="61">
        <f t="shared" si="3"/>
        <v>100</v>
      </c>
      <c r="J23" s="61">
        <f t="shared" si="3"/>
        <v>100</v>
      </c>
      <c r="K23" s="61">
        <f t="shared" si="3"/>
        <v>100</v>
      </c>
      <c r="L23" s="61">
        <f t="shared" si="3"/>
        <v>100</v>
      </c>
      <c r="M23" s="61">
        <f t="shared" si="3"/>
        <v>100</v>
      </c>
      <c r="N23" s="61">
        <f t="shared" si="3"/>
        <v>100</v>
      </c>
      <c r="O23" s="61">
        <f t="shared" si="3"/>
        <v>100</v>
      </c>
      <c r="P23" s="61">
        <f t="shared" si="3"/>
        <v>100</v>
      </c>
      <c r="Q23" s="61">
        <f t="shared" si="3"/>
        <v>100</v>
      </c>
      <c r="R23" s="61">
        <f t="shared" si="3"/>
        <v>100</v>
      </c>
      <c r="S23" s="61">
        <f>-'XIRR Examples'!R23</f>
        <v>-912.92</v>
      </c>
      <c r="U23" s="55" t="e">
        <f t="shared" ca="1" si="5"/>
        <v>#NUM!</v>
      </c>
      <c r="V23" s="53">
        <f t="shared" si="1"/>
        <v>-0.31819474443652662</v>
      </c>
      <c r="W23" s="88">
        <f>IF('XIRR Examples'!T23="","",'XIRR Examples'!T23)</f>
        <v>-0.31785194650292403</v>
      </c>
      <c r="X23" s="88">
        <f>IF('XIRR Examples'!U23="","",'XIRR Examples'!U23)</f>
        <v>-0.31819474551152938</v>
      </c>
      <c r="Y23" s="88">
        <f>IF('XIRR Examples'!V23="","",'XIRR Examples'!V23)</f>
        <v>-0.31785194631638325</v>
      </c>
    </row>
    <row r="24" spans="6:25" x14ac:dyDescent="0.2">
      <c r="F24" s="62">
        <v>9</v>
      </c>
      <c r="G24" s="61">
        <f t="shared" si="2"/>
        <v>-9.9999999999999995E-7</v>
      </c>
      <c r="H24" s="61">
        <f t="shared" si="2"/>
        <v>100</v>
      </c>
      <c r="I24" s="61">
        <f t="shared" si="3"/>
        <v>100</v>
      </c>
      <c r="J24" s="61">
        <f t="shared" si="3"/>
        <v>100</v>
      </c>
      <c r="K24" s="61">
        <f t="shared" si="3"/>
        <v>100</v>
      </c>
      <c r="L24" s="61">
        <f t="shared" si="3"/>
        <v>100</v>
      </c>
      <c r="M24" s="61">
        <f t="shared" si="3"/>
        <v>100</v>
      </c>
      <c r="N24" s="61">
        <f t="shared" si="3"/>
        <v>100</v>
      </c>
      <c r="O24" s="61">
        <f t="shared" si="3"/>
        <v>100</v>
      </c>
      <c r="P24" s="61">
        <f t="shared" si="3"/>
        <v>100</v>
      </c>
      <c r="Q24" s="61">
        <f t="shared" si="3"/>
        <v>100</v>
      </c>
      <c r="R24" s="61">
        <f t="shared" si="3"/>
        <v>100</v>
      </c>
      <c r="S24" s="61">
        <f>-'XIRR Examples'!R24</f>
        <v>-900</v>
      </c>
      <c r="U24" s="55" t="e">
        <f t="shared" ca="1" si="5"/>
        <v>#NUM!</v>
      </c>
      <c r="V24" s="53">
        <f t="shared" si="1"/>
        <v>-0.33845858051535638</v>
      </c>
      <c r="W24" s="88">
        <f>IF('XIRR Examples'!T24="","",'XIRR Examples'!T24)</f>
        <v>2.9802322387695314E-9</v>
      </c>
      <c r="X24" s="88">
        <f>IF('XIRR Examples'!U24="","",'XIRR Examples'!U24)</f>
        <v>-0.33845858160229303</v>
      </c>
      <c r="Y24" s="88">
        <f>IF('XIRR Examples'!V24="","",'XIRR Examples'!V24)</f>
        <v>-0.33809850946813158</v>
      </c>
    </row>
    <row r="25" spans="6:25" x14ac:dyDescent="0.2">
      <c r="F25" s="62">
        <v>10</v>
      </c>
      <c r="G25" s="61">
        <f t="shared" si="2"/>
        <v>-9.9999999999999995E-7</v>
      </c>
      <c r="H25" s="61">
        <f t="shared" si="2"/>
        <v>100</v>
      </c>
      <c r="I25" s="61">
        <f t="shared" si="3"/>
        <v>100</v>
      </c>
      <c r="J25" s="61">
        <f t="shared" si="3"/>
        <v>100</v>
      </c>
      <c r="K25" s="61">
        <f t="shared" si="3"/>
        <v>100</v>
      </c>
      <c r="L25" s="61">
        <f t="shared" si="3"/>
        <v>100</v>
      </c>
      <c r="M25" s="61">
        <f t="shared" si="3"/>
        <v>100</v>
      </c>
      <c r="N25" s="61">
        <f t="shared" si="3"/>
        <v>100</v>
      </c>
      <c r="O25" s="61">
        <f t="shared" si="3"/>
        <v>100</v>
      </c>
      <c r="P25" s="61">
        <f t="shared" si="3"/>
        <v>100</v>
      </c>
      <c r="Q25" s="61">
        <f t="shared" si="3"/>
        <v>100</v>
      </c>
      <c r="R25" s="61">
        <f t="shared" si="3"/>
        <v>100</v>
      </c>
      <c r="S25" s="61">
        <f>-'XIRR Examples'!R25</f>
        <v>-800</v>
      </c>
      <c r="U25" s="55" t="e">
        <f t="shared" ca="1" si="5"/>
        <v>#NUM!</v>
      </c>
      <c r="V25" s="53">
        <f t="shared" si="1"/>
        <v>-0.48715298704498677</v>
      </c>
      <c r="W25" s="88">
        <f>IF('XIRR Examples'!T25="","",'XIRR Examples'!T25)</f>
        <v>2.9802322387695314E-9</v>
      </c>
      <c r="X25" s="88">
        <f>IF('XIRR Examples'!U25="","",'XIRR Examples'!U25)</f>
        <v>-0.48715298776863303</v>
      </c>
      <c r="Y25" s="88">
        <f>IF('XIRR Examples'!V25="","",'XIRR Examples'!V25)</f>
        <v>-0.48669029292639515</v>
      </c>
    </row>
    <row r="26" spans="6:25" x14ac:dyDescent="0.2">
      <c r="F26" s="62">
        <v>11</v>
      </c>
      <c r="G26" s="61">
        <f t="shared" si="2"/>
        <v>-9.9999999999999995E-7</v>
      </c>
      <c r="H26" s="61">
        <f t="shared" si="2"/>
        <v>100</v>
      </c>
      <c r="I26" s="61">
        <f t="shared" si="3"/>
        <v>100</v>
      </c>
      <c r="J26" s="61">
        <f t="shared" si="3"/>
        <v>100</v>
      </c>
      <c r="K26" s="61">
        <f t="shared" si="3"/>
        <v>100</v>
      </c>
      <c r="L26" s="61">
        <f t="shared" si="3"/>
        <v>100</v>
      </c>
      <c r="M26" s="61">
        <f t="shared" si="3"/>
        <v>100</v>
      </c>
      <c r="N26" s="61">
        <f t="shared" si="3"/>
        <v>100</v>
      </c>
      <c r="O26" s="61">
        <f t="shared" si="3"/>
        <v>100</v>
      </c>
      <c r="P26" s="61">
        <f t="shared" si="3"/>
        <v>100</v>
      </c>
      <c r="Q26" s="61">
        <f t="shared" si="3"/>
        <v>100</v>
      </c>
      <c r="R26" s="61">
        <f t="shared" si="3"/>
        <v>100</v>
      </c>
      <c r="S26" s="61">
        <f>-'XIRR Examples'!R26</f>
        <v>-700</v>
      </c>
      <c r="U26" s="55" t="e">
        <f t="shared" ca="1" si="5"/>
        <v>#NUM!</v>
      </c>
      <c r="V26" s="53">
        <f t="shared" si="1"/>
        <v>-0.62042781620014331</v>
      </c>
      <c r="W26" s="88">
        <f>IF('XIRR Examples'!T26="","",'XIRR Examples'!T26)</f>
        <v>2.9802322387695314E-9</v>
      </c>
      <c r="X26" s="88">
        <f>IF('XIRR Examples'!U26="","",'XIRR Examples'!U26)</f>
        <v>-0.62042781667476721</v>
      </c>
      <c r="Y26" s="88">
        <f>IF('XIRR Examples'!V26="","",'XIRR Examples'!V26)</f>
        <v>-0.61992103578860502</v>
      </c>
    </row>
    <row r="27" spans="6:25" x14ac:dyDescent="0.2">
      <c r="F27" s="62">
        <v>12</v>
      </c>
      <c r="G27" s="61">
        <f t="shared" si="2"/>
        <v>-9.9999999999999995E-7</v>
      </c>
      <c r="H27" s="61">
        <f t="shared" si="2"/>
        <v>100</v>
      </c>
      <c r="I27" s="61">
        <f t="shared" si="3"/>
        <v>100</v>
      </c>
      <c r="J27" s="61">
        <f t="shared" si="3"/>
        <v>100</v>
      </c>
      <c r="K27" s="61">
        <f t="shared" si="3"/>
        <v>100</v>
      </c>
      <c r="L27" s="61">
        <f t="shared" si="3"/>
        <v>100</v>
      </c>
      <c r="M27" s="61">
        <f t="shared" si="3"/>
        <v>100</v>
      </c>
      <c r="N27" s="61">
        <f t="shared" si="3"/>
        <v>100</v>
      </c>
      <c r="O27" s="61">
        <f t="shared" si="3"/>
        <v>100</v>
      </c>
      <c r="P27" s="61">
        <f t="shared" si="3"/>
        <v>100</v>
      </c>
      <c r="Q27" s="61">
        <f t="shared" si="3"/>
        <v>100</v>
      </c>
      <c r="R27" s="61">
        <f t="shared" si="3"/>
        <v>100</v>
      </c>
      <c r="S27" s="61">
        <f>-'XIRR Examples'!R27</f>
        <v>-600</v>
      </c>
      <c r="U27" s="55" t="e">
        <f t="shared" ca="1" si="5"/>
        <v>#NUM!</v>
      </c>
      <c r="V27" s="53">
        <f t="shared" si="1"/>
        <v>-0.73668626010509175</v>
      </c>
      <c r="W27" s="88">
        <f>IF('XIRR Examples'!T27="","",'XIRR Examples'!T27)</f>
        <v>2.9802322387695314E-9</v>
      </c>
      <c r="X27" s="88">
        <f>IF('XIRR Examples'!U27="","",'XIRR Examples'!U27)</f>
        <v>-0.73668626038855334</v>
      </c>
      <c r="Y27" s="88">
        <f>IF('XIRR Examples'!V27="","",'XIRR Examples'!V27)</f>
        <v>-0.73619743644579561</v>
      </c>
    </row>
    <row r="28" spans="6:25" x14ac:dyDescent="0.2">
      <c r="F28" s="62">
        <v>13</v>
      </c>
      <c r="G28" s="61">
        <f t="shared" si="2"/>
        <v>-9.9999999999999995E-7</v>
      </c>
      <c r="H28" s="61">
        <f t="shared" si="2"/>
        <v>100</v>
      </c>
      <c r="I28" s="61">
        <f t="shared" si="3"/>
        <v>100</v>
      </c>
      <c r="J28" s="61">
        <f t="shared" si="3"/>
        <v>100</v>
      </c>
      <c r="K28" s="61">
        <f t="shared" si="3"/>
        <v>100</v>
      </c>
      <c r="L28" s="61">
        <f t="shared" si="3"/>
        <v>100</v>
      </c>
      <c r="M28" s="61">
        <f t="shared" si="3"/>
        <v>100</v>
      </c>
      <c r="N28" s="61">
        <f t="shared" si="3"/>
        <v>100</v>
      </c>
      <c r="O28" s="61">
        <f t="shared" si="3"/>
        <v>100</v>
      </c>
      <c r="P28" s="61">
        <f t="shared" si="3"/>
        <v>100</v>
      </c>
      <c r="Q28" s="61">
        <f t="shared" si="3"/>
        <v>100</v>
      </c>
      <c r="R28" s="61">
        <f t="shared" si="3"/>
        <v>100</v>
      </c>
      <c r="S28" s="61">
        <f>-'XIRR Examples'!R28</f>
        <v>-500</v>
      </c>
      <c r="U28" s="55" t="e">
        <f t="shared" ca="1" si="5"/>
        <v>#NUM!</v>
      </c>
      <c r="V28" s="53">
        <f t="shared" si="1"/>
        <v>-0.83404370705517739</v>
      </c>
      <c r="W28" s="88">
        <f>IF('XIRR Examples'!T28="","",'XIRR Examples'!T28)</f>
        <v>2.9802322387695314E-9</v>
      </c>
      <c r="X28" s="88">
        <f>IF('XIRR Examples'!U28="","",'XIRR Examples'!U28)</f>
        <v>-0.83404370720191712</v>
      </c>
      <c r="Y28" s="88">
        <f>IF('XIRR Examples'!V28="","",'XIRR Examples'!V28)</f>
        <v>-0.83363433128793207</v>
      </c>
    </row>
    <row r="29" spans="6:25" x14ac:dyDescent="0.2">
      <c r="F29" s="62">
        <v>14</v>
      </c>
      <c r="G29" s="61">
        <f t="shared" si="2"/>
        <v>-9.9999999999999995E-7</v>
      </c>
      <c r="H29" s="61">
        <f t="shared" si="2"/>
        <v>100</v>
      </c>
      <c r="I29" s="61">
        <f t="shared" si="3"/>
        <v>100</v>
      </c>
      <c r="J29" s="61">
        <f t="shared" si="3"/>
        <v>100</v>
      </c>
      <c r="K29" s="61">
        <f t="shared" si="3"/>
        <v>100</v>
      </c>
      <c r="L29" s="61">
        <f t="shared" si="3"/>
        <v>100</v>
      </c>
      <c r="M29" s="61">
        <f t="shared" si="3"/>
        <v>100</v>
      </c>
      <c r="N29" s="61">
        <f t="shared" si="3"/>
        <v>100</v>
      </c>
      <c r="O29" s="61">
        <f t="shared" si="3"/>
        <v>100</v>
      </c>
      <c r="P29" s="61">
        <f t="shared" si="3"/>
        <v>100</v>
      </c>
      <c r="Q29" s="61">
        <f t="shared" si="3"/>
        <v>100</v>
      </c>
      <c r="R29" s="61">
        <f t="shared" si="3"/>
        <v>100</v>
      </c>
      <c r="S29" s="61">
        <f>-'XIRR Examples'!R29</f>
        <v>-400</v>
      </c>
      <c r="U29" s="55" t="e">
        <f t="shared" ca="1" si="5"/>
        <v>#NUM!</v>
      </c>
      <c r="V29" s="53">
        <f t="shared" si="1"/>
        <v>-0.91033785424566926</v>
      </c>
      <c r="W29" s="88">
        <f>IF('XIRR Examples'!T29="","",'XIRR Examples'!T29)</f>
        <v>2.9802322387695314E-9</v>
      </c>
      <c r="X29" s="88">
        <f>IF('XIRR Examples'!U29="","",'XIRR Examples'!U29)</f>
        <v>-0.91033785430316305</v>
      </c>
      <c r="Y29" s="88">
        <f>IF('XIRR Examples'!V29="","",'XIRR Examples'!V29)</f>
        <v>-0.91005959152865301</v>
      </c>
    </row>
    <row r="30" spans="6:25" x14ac:dyDescent="0.2">
      <c r="F30" s="62">
        <v>15</v>
      </c>
      <c r="G30" s="61">
        <f t="shared" si="2"/>
        <v>-9.9999999999999995E-7</v>
      </c>
      <c r="H30" s="61">
        <f t="shared" si="2"/>
        <v>100</v>
      </c>
      <c r="I30" s="61">
        <f t="shared" si="3"/>
        <v>100</v>
      </c>
      <c r="J30" s="61">
        <f t="shared" si="3"/>
        <v>100</v>
      </c>
      <c r="K30" s="61">
        <f t="shared" si="3"/>
        <v>100</v>
      </c>
      <c r="L30" s="61">
        <f t="shared" si="3"/>
        <v>100</v>
      </c>
      <c r="M30" s="61">
        <f t="shared" si="3"/>
        <v>100</v>
      </c>
      <c r="N30" s="61">
        <f t="shared" si="3"/>
        <v>100</v>
      </c>
      <c r="O30" s="61">
        <f t="shared" si="3"/>
        <v>100</v>
      </c>
      <c r="P30" s="61">
        <f t="shared" si="3"/>
        <v>100</v>
      </c>
      <c r="Q30" s="61">
        <f t="shared" si="3"/>
        <v>100</v>
      </c>
      <c r="R30" s="61">
        <f t="shared" si="3"/>
        <v>100</v>
      </c>
      <c r="S30" s="61">
        <f>-'XIRR Examples'!R30</f>
        <v>-300</v>
      </c>
      <c r="U30" s="55" t="e">
        <f t="shared" ca="1" si="5"/>
        <v>#NUM!</v>
      </c>
      <c r="V30" s="55" t="e">
        <f t="shared" si="1"/>
        <v>#NUM!</v>
      </c>
      <c r="W30" s="88">
        <f>IF('XIRR Examples'!T30="","",'XIRR Examples'!T30)</f>
        <v>2.9802322387695314E-9</v>
      </c>
      <c r="X30" s="88" t="e">
        <f>IF('XIRR Examples'!U30="","",'XIRR Examples'!U30)</f>
        <v>#NUM!</v>
      </c>
      <c r="Y30" s="88">
        <f>IF('XIRR Examples'!V30="","",'XIRR Examples'!V30)</f>
        <v>-0.96323076343677949</v>
      </c>
    </row>
    <row r="31" spans="6:25" x14ac:dyDescent="0.2">
      <c r="F31" s="62">
        <v>16</v>
      </c>
      <c r="G31" s="61">
        <f t="shared" si="2"/>
        <v>-9.9999999999999995E-7</v>
      </c>
      <c r="H31" s="61">
        <f t="shared" si="2"/>
        <v>100</v>
      </c>
      <c r="I31" s="61">
        <f t="shared" si="3"/>
        <v>100</v>
      </c>
      <c r="J31" s="61">
        <f t="shared" si="3"/>
        <v>100</v>
      </c>
      <c r="K31" s="61">
        <f t="shared" si="3"/>
        <v>100</v>
      </c>
      <c r="L31" s="61">
        <f t="shared" si="3"/>
        <v>100</v>
      </c>
      <c r="M31" s="61">
        <f t="shared" si="3"/>
        <v>100</v>
      </c>
      <c r="N31" s="61">
        <f t="shared" si="3"/>
        <v>100</v>
      </c>
      <c r="O31" s="61">
        <f t="shared" si="3"/>
        <v>100</v>
      </c>
      <c r="P31" s="61">
        <f t="shared" si="3"/>
        <v>100</v>
      </c>
      <c r="Q31" s="61">
        <f t="shared" si="3"/>
        <v>100</v>
      </c>
      <c r="R31" s="61">
        <f t="shared" si="3"/>
        <v>100</v>
      </c>
      <c r="S31" s="61">
        <f>-'XIRR Examples'!R31</f>
        <v>-200</v>
      </c>
      <c r="U31" s="55" t="e">
        <f t="shared" ca="1" si="5"/>
        <v>#NUM!</v>
      </c>
      <c r="V31" s="55" t="e">
        <f t="shared" si="1"/>
        <v>#NUM!</v>
      </c>
      <c r="W31" s="88">
        <f>IF('XIRR Examples'!T31="","",'XIRR Examples'!T31)</f>
        <v>2.9802322387695314E-9</v>
      </c>
      <c r="X31" s="88" t="e">
        <f>IF('XIRR Examples'!U31="","",'XIRR Examples'!U31)</f>
        <v>#NUM!</v>
      </c>
      <c r="Y31" s="88">
        <f>IF('XIRR Examples'!V31="","",'XIRR Examples'!V31)</f>
        <v>-0.99189887595310766</v>
      </c>
    </row>
    <row r="32" spans="6:25" x14ac:dyDescent="0.2">
      <c r="F32" s="62">
        <v>17</v>
      </c>
      <c r="G32" s="61">
        <f t="shared" si="2"/>
        <v>-9.9999999999999995E-7</v>
      </c>
      <c r="H32" s="61">
        <f t="shared" si="2"/>
        <v>100</v>
      </c>
      <c r="I32" s="61">
        <f t="shared" si="3"/>
        <v>100</v>
      </c>
      <c r="J32" s="61">
        <f t="shared" si="3"/>
        <v>100</v>
      </c>
      <c r="K32" s="61">
        <f t="shared" si="3"/>
        <v>100</v>
      </c>
      <c r="L32" s="61">
        <f t="shared" si="3"/>
        <v>100</v>
      </c>
      <c r="M32" s="61">
        <f t="shared" si="3"/>
        <v>100</v>
      </c>
      <c r="N32" s="61">
        <f t="shared" si="3"/>
        <v>100</v>
      </c>
      <c r="O32" s="61">
        <f t="shared" si="3"/>
        <v>100</v>
      </c>
      <c r="P32" s="61">
        <f t="shared" si="3"/>
        <v>100</v>
      </c>
      <c r="Q32" s="61">
        <f t="shared" si="3"/>
        <v>100</v>
      </c>
      <c r="R32" s="61">
        <f t="shared" si="3"/>
        <v>100</v>
      </c>
      <c r="S32" s="61">
        <f>-'XIRR Examples'!R32</f>
        <v>-100</v>
      </c>
      <c r="U32" s="55" t="e">
        <f t="shared" ca="1" si="5"/>
        <v>#NUM!</v>
      </c>
      <c r="V32" s="55" t="e">
        <f t="shared" si="1"/>
        <v>#NUM!</v>
      </c>
      <c r="W32" s="88">
        <f>IF('XIRR Examples'!T32="","",'XIRR Examples'!T32)</f>
        <v>2.9802322387695314E-9</v>
      </c>
      <c r="X32" s="88" t="e">
        <f>IF('XIRR Examples'!U32="","",'XIRR Examples'!U32)</f>
        <v>#NUM!</v>
      </c>
      <c r="Y32" s="88" t="str">
        <f>IF('XIRR Examples'!V32="","",'XIRR Examples'!V32)</f>
        <v/>
      </c>
    </row>
    <row r="33" spans="6:25" x14ac:dyDescent="0.2">
      <c r="F33" s="62">
        <v>18</v>
      </c>
      <c r="G33" s="61">
        <f t="shared" si="2"/>
        <v>-9.9999999999999995E-7</v>
      </c>
      <c r="H33" s="61">
        <f t="shared" si="2"/>
        <v>100</v>
      </c>
      <c r="I33" s="61">
        <f t="shared" ref="I33:R38" si="6">I$16</f>
        <v>100</v>
      </c>
      <c r="J33" s="61">
        <f t="shared" si="6"/>
        <v>100</v>
      </c>
      <c r="K33" s="61">
        <f t="shared" si="6"/>
        <v>100</v>
      </c>
      <c r="L33" s="61">
        <f t="shared" si="6"/>
        <v>100</v>
      </c>
      <c r="M33" s="61">
        <f t="shared" si="6"/>
        <v>100</v>
      </c>
      <c r="N33" s="61">
        <f t="shared" si="6"/>
        <v>100</v>
      </c>
      <c r="O33" s="61">
        <f t="shared" si="6"/>
        <v>100</v>
      </c>
      <c r="P33" s="61">
        <f t="shared" si="6"/>
        <v>100</v>
      </c>
      <c r="Q33" s="61">
        <f t="shared" si="6"/>
        <v>100</v>
      </c>
      <c r="R33" s="61">
        <f t="shared" si="6"/>
        <v>100</v>
      </c>
      <c r="S33" s="61">
        <f>-'XIRR Examples'!R33</f>
        <v>0</v>
      </c>
      <c r="U33" s="55" t="e">
        <f t="shared" ca="1" si="5"/>
        <v>#NUM!</v>
      </c>
      <c r="V33" s="55" t="e">
        <f t="shared" si="1"/>
        <v>#NUM!</v>
      </c>
      <c r="W33" s="88" t="e">
        <f>IF('XIRR Examples'!T33="","",'XIRR Examples'!T33)</f>
        <v>#NUM!</v>
      </c>
      <c r="X33" s="88" t="e">
        <f>IF('XIRR Examples'!U33="","",'XIRR Examples'!U33)</f>
        <v>#NUM!</v>
      </c>
      <c r="Y33" s="88" t="str">
        <f>IF('XIRR Examples'!V33="","",'XIRR Examples'!V33)</f>
        <v/>
      </c>
    </row>
    <row r="34" spans="6:25" x14ac:dyDescent="0.2">
      <c r="F34" s="62">
        <v>19</v>
      </c>
      <c r="G34" s="61">
        <f t="shared" si="2"/>
        <v>-9.9999999999999995E-7</v>
      </c>
      <c r="H34" s="61">
        <f t="shared" si="2"/>
        <v>100</v>
      </c>
      <c r="I34" s="61">
        <f t="shared" si="6"/>
        <v>100</v>
      </c>
      <c r="J34" s="61">
        <f t="shared" si="6"/>
        <v>100</v>
      </c>
      <c r="K34" s="61">
        <f t="shared" si="6"/>
        <v>100</v>
      </c>
      <c r="L34" s="61">
        <f t="shared" si="6"/>
        <v>100</v>
      </c>
      <c r="M34" s="61">
        <f t="shared" si="6"/>
        <v>100</v>
      </c>
      <c r="N34" s="61">
        <f t="shared" si="6"/>
        <v>100</v>
      </c>
      <c r="O34" s="61">
        <f t="shared" si="6"/>
        <v>100</v>
      </c>
      <c r="P34" s="61">
        <f t="shared" si="6"/>
        <v>100</v>
      </c>
      <c r="Q34" s="61">
        <f t="shared" si="6"/>
        <v>100</v>
      </c>
      <c r="R34" s="61">
        <f t="shared" si="6"/>
        <v>100</v>
      </c>
      <c r="S34" s="61">
        <f>-'XIRR Examples'!R34</f>
        <v>100</v>
      </c>
      <c r="U34" s="55" t="e">
        <f t="shared" ca="1" si="5"/>
        <v>#NUM!</v>
      </c>
      <c r="V34" s="55" t="e">
        <f t="shared" si="1"/>
        <v>#NUM!</v>
      </c>
      <c r="W34" s="88" t="e">
        <f>IF('XIRR Examples'!T34="","",'XIRR Examples'!T34)</f>
        <v>#NUM!</v>
      </c>
      <c r="X34" s="88" t="e">
        <f>IF('XIRR Examples'!U34="","",'XIRR Examples'!U34)</f>
        <v>#NUM!</v>
      </c>
      <c r="Y34" s="88" t="str">
        <f>IF('XIRR Examples'!V34="","",'XIRR Examples'!V34)</f>
        <v/>
      </c>
    </row>
    <row r="35" spans="6:25" x14ac:dyDescent="0.2">
      <c r="F35" s="62">
        <v>20</v>
      </c>
      <c r="G35" s="61">
        <f t="shared" si="2"/>
        <v>-9.9999999999999995E-7</v>
      </c>
      <c r="H35" s="61">
        <f t="shared" si="2"/>
        <v>100</v>
      </c>
      <c r="I35" s="61">
        <f t="shared" si="6"/>
        <v>100</v>
      </c>
      <c r="J35" s="61">
        <f t="shared" si="6"/>
        <v>100</v>
      </c>
      <c r="K35" s="61">
        <f t="shared" si="6"/>
        <v>100</v>
      </c>
      <c r="L35" s="61">
        <f t="shared" si="6"/>
        <v>100</v>
      </c>
      <c r="M35" s="61">
        <f t="shared" si="6"/>
        <v>100</v>
      </c>
      <c r="N35" s="61">
        <f t="shared" si="6"/>
        <v>100</v>
      </c>
      <c r="O35" s="61">
        <f t="shared" si="6"/>
        <v>100</v>
      </c>
      <c r="P35" s="61">
        <f t="shared" si="6"/>
        <v>100</v>
      </c>
      <c r="Q35" s="61">
        <f t="shared" si="6"/>
        <v>100</v>
      </c>
      <c r="R35" s="61">
        <f t="shared" si="6"/>
        <v>100</v>
      </c>
      <c r="S35" s="61">
        <f>-'XIRR Examples'!R35</f>
        <v>200</v>
      </c>
      <c r="U35" s="55" t="e">
        <f t="shared" ca="1" si="5"/>
        <v>#NUM!</v>
      </c>
      <c r="V35" s="55" t="e">
        <f t="shared" si="1"/>
        <v>#NUM!</v>
      </c>
      <c r="W35" s="88" t="e">
        <f>IF('XIRR Examples'!T35="","",'XIRR Examples'!T35)</f>
        <v>#NUM!</v>
      </c>
      <c r="X35" s="88" t="e">
        <f>IF('XIRR Examples'!U35="","",'XIRR Examples'!U35)</f>
        <v>#NUM!</v>
      </c>
      <c r="Y35" s="88" t="str">
        <f>IF('XIRR Examples'!V35="","",'XIRR Examples'!V35)</f>
        <v/>
      </c>
    </row>
    <row r="36" spans="6:25" x14ac:dyDescent="0.2">
      <c r="F36" s="62">
        <v>21</v>
      </c>
      <c r="G36" s="61">
        <f t="shared" si="2"/>
        <v>-9.9999999999999995E-7</v>
      </c>
      <c r="H36" s="61">
        <f t="shared" si="2"/>
        <v>100</v>
      </c>
      <c r="I36" s="61">
        <f t="shared" si="6"/>
        <v>100</v>
      </c>
      <c r="J36" s="61">
        <f t="shared" si="6"/>
        <v>100</v>
      </c>
      <c r="K36" s="61">
        <f t="shared" si="6"/>
        <v>100</v>
      </c>
      <c r="L36" s="61">
        <f t="shared" si="6"/>
        <v>100</v>
      </c>
      <c r="M36" s="61">
        <f t="shared" si="6"/>
        <v>100</v>
      </c>
      <c r="N36" s="61">
        <f t="shared" si="6"/>
        <v>100</v>
      </c>
      <c r="O36" s="61">
        <f t="shared" si="6"/>
        <v>100</v>
      </c>
      <c r="P36" s="61">
        <f t="shared" si="6"/>
        <v>100</v>
      </c>
      <c r="Q36" s="61">
        <f t="shared" si="6"/>
        <v>100</v>
      </c>
      <c r="R36" s="61">
        <f t="shared" si="6"/>
        <v>100</v>
      </c>
      <c r="S36" s="61">
        <f>-'XIRR Examples'!R36</f>
        <v>1200</v>
      </c>
      <c r="U36" s="55" t="e">
        <f t="shared" ca="1" si="5"/>
        <v>#NUM!</v>
      </c>
      <c r="V36" s="55" t="e">
        <f t="shared" si="1"/>
        <v>#NUM!</v>
      </c>
      <c r="W36" s="88" t="e">
        <f>IF('XIRR Examples'!T36="","",'XIRR Examples'!T36)</f>
        <v>#NUM!</v>
      </c>
      <c r="X36" s="88" t="e">
        <f>IF('XIRR Examples'!U36="","",'XIRR Examples'!U36)</f>
        <v>#NUM!</v>
      </c>
      <c r="Y36" s="88" t="str">
        <f>IF('XIRR Examples'!V36="","",'XIRR Examples'!V36)</f>
        <v/>
      </c>
    </row>
    <row r="37" spans="6:25" x14ac:dyDescent="0.2">
      <c r="F37" s="62">
        <v>22</v>
      </c>
      <c r="G37" s="61">
        <f t="shared" si="2"/>
        <v>-9.9999999999999995E-7</v>
      </c>
      <c r="H37" s="61">
        <f t="shared" si="2"/>
        <v>100</v>
      </c>
      <c r="I37" s="61">
        <f t="shared" si="6"/>
        <v>100</v>
      </c>
      <c r="J37" s="61">
        <f t="shared" si="6"/>
        <v>100</v>
      </c>
      <c r="K37" s="61">
        <f t="shared" si="6"/>
        <v>100</v>
      </c>
      <c r="L37" s="61">
        <f t="shared" si="6"/>
        <v>100</v>
      </c>
      <c r="M37" s="61">
        <f t="shared" si="6"/>
        <v>100</v>
      </c>
      <c r="N37" s="61">
        <f t="shared" si="6"/>
        <v>100</v>
      </c>
      <c r="O37" s="61">
        <f t="shared" si="6"/>
        <v>100</v>
      </c>
      <c r="P37" s="61">
        <f t="shared" si="6"/>
        <v>100</v>
      </c>
      <c r="Q37" s="61">
        <f t="shared" si="6"/>
        <v>100</v>
      </c>
      <c r="R37" s="61">
        <f t="shared" si="6"/>
        <v>100</v>
      </c>
      <c r="S37" s="61">
        <f>-'XIRR Examples'!R37</f>
        <v>1300</v>
      </c>
      <c r="U37" s="55" t="e">
        <f t="shared" ca="1" si="5"/>
        <v>#NUM!</v>
      </c>
      <c r="V37" s="55" t="e">
        <f t="shared" si="1"/>
        <v>#NUM!</v>
      </c>
      <c r="W37" s="88" t="e">
        <f>IF('XIRR Examples'!T37="","",'XIRR Examples'!T37)</f>
        <v>#NUM!</v>
      </c>
      <c r="X37" s="88" t="e">
        <f>IF('XIRR Examples'!U37="","",'XIRR Examples'!U37)</f>
        <v>#NUM!</v>
      </c>
      <c r="Y37" s="88" t="str">
        <f>IF('XIRR Examples'!V37="","",'XIRR Examples'!V37)</f>
        <v/>
      </c>
    </row>
    <row r="38" spans="6:25" x14ac:dyDescent="0.2">
      <c r="F38" s="62">
        <v>23</v>
      </c>
      <c r="G38" s="61">
        <f t="shared" si="2"/>
        <v>-9.9999999999999995E-7</v>
      </c>
      <c r="H38" s="61">
        <f t="shared" si="2"/>
        <v>100</v>
      </c>
      <c r="I38" s="61">
        <f t="shared" si="6"/>
        <v>100</v>
      </c>
      <c r="J38" s="61">
        <f t="shared" si="6"/>
        <v>100</v>
      </c>
      <c r="K38" s="61">
        <f t="shared" si="6"/>
        <v>100</v>
      </c>
      <c r="L38" s="61">
        <f t="shared" si="6"/>
        <v>100</v>
      </c>
      <c r="M38" s="61">
        <f t="shared" si="6"/>
        <v>100</v>
      </c>
      <c r="N38" s="61">
        <f t="shared" si="6"/>
        <v>100</v>
      </c>
      <c r="O38" s="61">
        <f t="shared" si="6"/>
        <v>100</v>
      </c>
      <c r="P38" s="61">
        <f t="shared" si="6"/>
        <v>100</v>
      </c>
      <c r="Q38" s="61">
        <f t="shared" si="6"/>
        <v>100</v>
      </c>
      <c r="R38" s="61">
        <f t="shared" si="6"/>
        <v>100</v>
      </c>
      <c r="S38" s="61">
        <f>-'XIRR Examples'!R38</f>
        <v>1400</v>
      </c>
      <c r="U38" s="55" t="e">
        <f t="shared" ca="1" si="5"/>
        <v>#NUM!</v>
      </c>
      <c r="V38" s="55" t="e">
        <f t="shared" si="1"/>
        <v>#NUM!</v>
      </c>
      <c r="W38" s="88" t="e">
        <f>IF('XIRR Examples'!T38="","",'XIRR Examples'!T38)</f>
        <v>#NUM!</v>
      </c>
      <c r="X38" s="88" t="e">
        <f>IF('XIRR Examples'!U38="","",'XIRR Examples'!U38)</f>
        <v>#NUM!</v>
      </c>
      <c r="Y38" s="88" t="str">
        <f>IF('XIRR Examples'!V38="","",'XIRR Examples'!V38)</f>
        <v/>
      </c>
    </row>
    <row r="39" spans="6:25" x14ac:dyDescent="0.2">
      <c r="F39" s="62">
        <v>24</v>
      </c>
      <c r="G39" s="61">
        <f t="shared" si="2"/>
        <v>-9.9999999999999995E-7</v>
      </c>
      <c r="H39" s="61">
        <f t="shared" si="2"/>
        <v>100</v>
      </c>
      <c r="I39" s="61">
        <f>I$16</f>
        <v>100</v>
      </c>
      <c r="J39" s="61">
        <f>J$16</f>
        <v>100</v>
      </c>
      <c r="K39" s="61">
        <f>K$16</f>
        <v>100</v>
      </c>
      <c r="L39" s="61">
        <f t="shared" ref="I39:R40" si="7">L$16</f>
        <v>100</v>
      </c>
      <c r="M39" s="61">
        <f t="shared" si="7"/>
        <v>100</v>
      </c>
      <c r="N39" s="61">
        <f t="shared" si="7"/>
        <v>100</v>
      </c>
      <c r="O39" s="61">
        <f t="shared" si="7"/>
        <v>100</v>
      </c>
      <c r="P39" s="61">
        <f t="shared" si="7"/>
        <v>100</v>
      </c>
      <c r="Q39" s="61">
        <f t="shared" si="7"/>
        <v>100</v>
      </c>
      <c r="R39" s="61">
        <f t="shared" si="7"/>
        <v>100</v>
      </c>
      <c r="S39" s="61">
        <f>-'XIRR Examples'!R39</f>
        <v>1500</v>
      </c>
      <c r="U39" s="55" t="e">
        <f t="shared" ca="1" si="5"/>
        <v>#NUM!</v>
      </c>
      <c r="V39" s="55" t="e">
        <f t="shared" si="1"/>
        <v>#NUM!</v>
      </c>
      <c r="W39" s="88" t="e">
        <f>IF('XIRR Examples'!T39="","",'XIRR Examples'!T39)</f>
        <v>#NUM!</v>
      </c>
      <c r="X39" s="88" t="e">
        <f>IF('XIRR Examples'!U39="","",'XIRR Examples'!U39)</f>
        <v>#NUM!</v>
      </c>
      <c r="Y39" s="88" t="str">
        <f>IF('XIRR Examples'!V39="","",'XIRR Examples'!V39)</f>
        <v/>
      </c>
    </row>
    <row r="40" spans="6:25" x14ac:dyDescent="0.2">
      <c r="F40" s="62">
        <v>25</v>
      </c>
      <c r="G40" s="61">
        <f t="shared" si="2"/>
        <v>-9.9999999999999995E-7</v>
      </c>
      <c r="H40" s="61">
        <f t="shared" si="2"/>
        <v>100</v>
      </c>
      <c r="I40" s="61">
        <f t="shared" si="7"/>
        <v>100</v>
      </c>
      <c r="J40" s="61">
        <f t="shared" si="7"/>
        <v>100</v>
      </c>
      <c r="K40" s="61">
        <f t="shared" si="7"/>
        <v>100</v>
      </c>
      <c r="L40" s="61">
        <f t="shared" si="7"/>
        <v>100</v>
      </c>
      <c r="M40" s="61">
        <f t="shared" si="7"/>
        <v>100</v>
      </c>
      <c r="N40" s="61">
        <f t="shared" si="7"/>
        <v>100</v>
      </c>
      <c r="O40" s="61">
        <f t="shared" si="7"/>
        <v>100</v>
      </c>
      <c r="P40" s="61">
        <f t="shared" si="7"/>
        <v>100</v>
      </c>
      <c r="Q40" s="61">
        <f t="shared" si="7"/>
        <v>100</v>
      </c>
      <c r="R40" s="61">
        <f t="shared" si="7"/>
        <v>100</v>
      </c>
      <c r="S40" s="61">
        <f>-'XIRR Examples'!R40</f>
        <v>1600</v>
      </c>
      <c r="U40" s="55" t="e">
        <f t="shared" ca="1" si="5"/>
        <v>#NUM!</v>
      </c>
      <c r="V40" s="55" t="e">
        <f t="shared" si="1"/>
        <v>#NUM!</v>
      </c>
      <c r="W40" s="88" t="e">
        <f>IF('XIRR Examples'!T40="","",'XIRR Examples'!T40)</f>
        <v>#NUM!</v>
      </c>
      <c r="X40" s="88" t="e">
        <f>IF('XIRR Examples'!U40="","",'XIRR Examples'!U40)</f>
        <v>#NUM!</v>
      </c>
      <c r="Y40" s="88" t="str">
        <f>IF('XIRR Examples'!V40="","",'XIRR Examples'!V40)</f>
        <v/>
      </c>
    </row>
    <row r="41" spans="6:25" x14ac:dyDescent="0.2"/>
    <row r="42" spans="6:25" x14ac:dyDescent="0.2"/>
    <row r="43" spans="6:25" x14ac:dyDescent="0.2"/>
    <row r="44" spans="6:25" x14ac:dyDescent="0.2"/>
  </sheetData>
  <mergeCells count="1">
    <mergeCell ref="A3:E3"/>
  </mergeCells>
  <conditionalFormatting sqref="I4">
    <cfRule type="cellIs" dxfId="6" priority="1" operator="notEqual">
      <formula>0</formula>
    </cfRule>
  </conditionalFormatting>
  <hyperlinks>
    <hyperlink ref="A3:E3" location="HL_Navigator" tooltip="Go to Navigator (Table of Contents)" display="Navigator" xr:uid="{AE170136-C4FF-4D18-AC23-90D9A5D127D2}"/>
    <hyperlink ref="A3" location="HL_Navigator" display="Navigator" xr:uid="{074C8215-7ED2-4EBD-AF8F-DB26A99B926B}"/>
    <hyperlink ref="I4" location="Overall_Error_Check" tooltip="Go to Overall Error Check" display="Overall_Error_Check" xr:uid="{F50C360A-46A9-44A6-A466-924299660A79}"/>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outlinePr summaryBelow="0"/>
  </sheetPr>
  <dimension ref="A1:R19"/>
  <sheetViews>
    <sheetView showGridLines="0" workbookViewId="0">
      <pane ySplit="4" topLeftCell="A5" activePane="bottomLeft" state="frozen"/>
      <selection pane="bottomLeft" activeCell="A5" sqref="A5"/>
    </sheetView>
  </sheetViews>
  <sheetFormatPr defaultColWidth="0" defaultRowHeight="12" outlineLevelRow="1" x14ac:dyDescent="0.2"/>
  <cols>
    <col min="1" max="5" width="3.7109375" customWidth="1"/>
    <col min="6" max="12" width="9.140625" customWidth="1"/>
    <col min="13" max="18" width="0" hidden="1" customWidth="1"/>
    <col min="19" max="16384" width="9.140625" hidden="1"/>
  </cols>
  <sheetData>
    <row r="1" spans="1:11" ht="20.25" x14ac:dyDescent="0.3">
      <c r="A1" s="14" t="str">
        <f ca="1">IF(ISERROR(RIGHT(CELL("filename",A1),LEN(CELL("filename",A1))-FIND("]",CELL("filename",A1)))),
"",
RIGHT(CELL("filename",A1),LEN(CELL("filename",A1))-FIND("]",CELL("filename",A1))))</f>
        <v>Error Checks</v>
      </c>
      <c r="I1" s="48"/>
      <c r="J1" s="48"/>
    </row>
    <row r="2" spans="1:11" ht="18" x14ac:dyDescent="0.25">
      <c r="A2" s="16" t="str">
        <f ca="1">Model_Name</f>
        <v>Chapter 7.5 - SP Internal Rate of Return Summary Examples.xlsx</v>
      </c>
    </row>
    <row r="3" spans="1:11" x14ac:dyDescent="0.2">
      <c r="A3" s="91" t="s">
        <v>1</v>
      </c>
      <c r="B3" s="91"/>
      <c r="C3" s="91"/>
      <c r="D3" s="91"/>
      <c r="E3" s="91"/>
    </row>
    <row r="4" spans="1:11" ht="14.25" x14ac:dyDescent="0.2">
      <c r="B4" t="s">
        <v>2</v>
      </c>
      <c r="F4" s="1">
        <f>Overall_Error_Check</f>
        <v>0</v>
      </c>
    </row>
    <row r="5" spans="1:11" x14ac:dyDescent="0.2">
      <c r="A5" s="11"/>
    </row>
    <row r="6" spans="1:11" ht="16.5" thickBot="1" x14ac:dyDescent="0.3">
      <c r="B6" s="41">
        <f>MAX($B$5:$B5)+1</f>
        <v>1</v>
      </c>
      <c r="C6" s="2" t="s">
        <v>66</v>
      </c>
      <c r="D6" s="2"/>
      <c r="E6" s="2"/>
      <c r="F6" s="2"/>
      <c r="G6" s="2"/>
      <c r="H6" s="2"/>
      <c r="I6" s="2"/>
      <c r="J6" s="2"/>
      <c r="K6" s="2"/>
    </row>
    <row r="7" spans="1:11" ht="12.75" outlineLevel="1" thickTop="1" x14ac:dyDescent="0.2"/>
    <row r="8" spans="1:11" ht="16.5" outlineLevel="1" x14ac:dyDescent="0.25">
      <c r="C8" s="3" t="s">
        <v>67</v>
      </c>
    </row>
    <row r="9" spans="1:11" ht="16.5" outlineLevel="1" x14ac:dyDescent="0.25">
      <c r="C9" s="3"/>
    </row>
    <row r="10" spans="1:11" ht="16.5" outlineLevel="1" x14ac:dyDescent="0.25">
      <c r="C10" s="3"/>
      <c r="D10" s="4" t="s">
        <v>68</v>
      </c>
    </row>
    <row r="11" spans="1:11" outlineLevel="1" x14ac:dyDescent="0.2"/>
    <row r="12" spans="1:11" ht="14.25" outlineLevel="1" x14ac:dyDescent="0.2">
      <c r="E12" t="s">
        <v>69</v>
      </c>
      <c r="I12" s="36"/>
    </row>
    <row r="13" spans="1:11" outlineLevel="1" x14ac:dyDescent="0.2"/>
    <row r="14" spans="1:11" outlineLevel="1" x14ac:dyDescent="0.2"/>
    <row r="15" spans="1:11" outlineLevel="1" x14ac:dyDescent="0.2"/>
    <row r="16" spans="1:11" outlineLevel="1" x14ac:dyDescent="0.2"/>
    <row r="17" spans="5:11" ht="15" outlineLevel="1" x14ac:dyDescent="0.25">
      <c r="E17" s="4" t="str">
        <f>C8</f>
        <v>Summary of Errors</v>
      </c>
      <c r="I17" s="1">
        <f>MIN(1,SUM(I11:I15))</f>
        <v>0</v>
      </c>
      <c r="K17" s="11"/>
    </row>
    <row r="18" spans="5:11" outlineLevel="1" x14ac:dyDescent="0.2"/>
    <row r="19" spans="5:11" outlineLevel="1" x14ac:dyDescent="0.2"/>
  </sheetData>
  <mergeCells count="1">
    <mergeCell ref="A3:E3"/>
  </mergeCells>
  <conditionalFormatting sqref="I17">
    <cfRule type="cellIs" dxfId="5" priority="5" operator="notEqual">
      <formula>0</formula>
    </cfRule>
  </conditionalFormatting>
  <conditionalFormatting sqref="I12">
    <cfRule type="cellIs" dxfId="4" priority="4" operator="notEqual">
      <formula>0</formula>
    </cfRule>
  </conditionalFormatting>
  <conditionalFormatting sqref="I12">
    <cfRule type="cellIs" dxfId="3" priority="3" operator="notEqual">
      <formula>0</formula>
    </cfRule>
  </conditionalFormatting>
  <conditionalFormatting sqref="F4">
    <cfRule type="cellIs" dxfId="2" priority="1" operator="notEqual">
      <formula>0</formula>
    </cfRule>
  </conditionalFormatting>
  <hyperlinks>
    <hyperlink ref="F4" location="Overall_Error_Check" tooltip="Go to Overall Error Check" display="Overall_Error_Check" xr:uid="{00000000-0004-0000-0500-000000000000}"/>
    <hyperlink ref="A3:E3" location="HL_Navigator" tooltip="Go to Navigator (Table of Contents)" display="Navigator" xr:uid="{00000000-0004-0000-0500-000001000000}"/>
    <hyperlink ref="A3" location="HL_Navigator" display="Navigator" xr:uid="{00000000-0004-0000-0500-000002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L22"/>
  <sheetViews>
    <sheetView showGridLines="0" workbookViewId="0">
      <pane ySplit="4" topLeftCell="A5" activePane="bottomLeft" state="frozen"/>
      <selection pane="bottomLeft" activeCell="A5" sqref="A5"/>
    </sheetView>
  </sheetViews>
  <sheetFormatPr defaultRowHeight="12" outlineLevelRow="1" x14ac:dyDescent="0.2"/>
  <cols>
    <col min="1" max="5" width="3.7109375" customWidth="1"/>
    <col min="6" max="6" width="11.140625" customWidth="1"/>
    <col min="7" max="7" width="27" customWidth="1"/>
    <col min="8" max="8" width="21.5703125" customWidth="1"/>
    <col min="9" max="9" width="24.42578125" customWidth="1"/>
    <col min="10" max="10" width="30.28515625" customWidth="1"/>
    <col min="11" max="11" width="26.7109375" customWidth="1"/>
  </cols>
  <sheetData>
    <row r="1" spans="1:12" ht="20.25" x14ac:dyDescent="0.3">
      <c r="A1" s="14" t="str">
        <f ca="1">IF(ISERROR(RIGHT(CELL("filename",A1),LEN(CELL("filename",A1))-FIND("]",CELL("filename",A1)))),
"",
RIGHT(CELL("filename",A1),LEN(CELL("filename",A1))-FIND("]",CELL("filename",A1))))</f>
        <v>Change Log</v>
      </c>
      <c r="I1" s="48"/>
      <c r="J1" s="48"/>
      <c r="K1" s="11"/>
    </row>
    <row r="2" spans="1:12" ht="18" x14ac:dyDescent="0.25">
      <c r="A2" s="16" t="str">
        <f ca="1">Model_Name</f>
        <v>Chapter 7.5 - SP Internal Rate of Return Summary Examples.xlsx</v>
      </c>
    </row>
    <row r="3" spans="1:12" x14ac:dyDescent="0.2">
      <c r="A3" s="91" t="s">
        <v>1</v>
      </c>
      <c r="B3" s="91"/>
      <c r="C3" s="91"/>
      <c r="D3" s="91"/>
      <c r="E3" s="91"/>
    </row>
    <row r="4" spans="1:12" ht="14.25" x14ac:dyDescent="0.2">
      <c r="B4" t="s">
        <v>2</v>
      </c>
      <c r="F4" s="1">
        <f>Overall_Error_Check</f>
        <v>0</v>
      </c>
    </row>
    <row r="5" spans="1:12" x14ac:dyDescent="0.2">
      <c r="A5" s="11"/>
    </row>
    <row r="6" spans="1:12" ht="16.5" thickBot="1" x14ac:dyDescent="0.3">
      <c r="B6" s="41">
        <f>MAX($B$5:$B5)+1</f>
        <v>1</v>
      </c>
      <c r="C6" s="2" t="str">
        <f ca="1">A1</f>
        <v>Change Log</v>
      </c>
      <c r="D6" s="2"/>
      <c r="E6" s="2"/>
      <c r="F6" s="2"/>
      <c r="G6" s="2"/>
      <c r="H6" s="2"/>
      <c r="I6" s="2"/>
      <c r="J6" s="2"/>
      <c r="K6" s="2"/>
      <c r="L6" s="2"/>
    </row>
    <row r="7" spans="1:12" ht="12.75" outlineLevel="1" thickTop="1" x14ac:dyDescent="0.2"/>
    <row r="8" spans="1:12" ht="16.5" outlineLevel="1" x14ac:dyDescent="0.25">
      <c r="C8" s="3" t="s">
        <v>77</v>
      </c>
    </row>
    <row r="10" spans="1:12" x14ac:dyDescent="0.2">
      <c r="F10" s="13" t="s">
        <v>62</v>
      </c>
      <c r="G10" s="13" t="s">
        <v>73</v>
      </c>
      <c r="H10" s="13" t="s">
        <v>74</v>
      </c>
      <c r="I10" s="13" t="s">
        <v>75</v>
      </c>
      <c r="J10" s="13" t="s">
        <v>76</v>
      </c>
      <c r="K10" s="13" t="s">
        <v>79</v>
      </c>
    </row>
    <row r="11" spans="1:12" x14ac:dyDescent="0.2">
      <c r="F11" s="37">
        <v>41415</v>
      </c>
      <c r="G11" t="s">
        <v>82</v>
      </c>
      <c r="H11" t="s">
        <v>78</v>
      </c>
      <c r="I11" t="s">
        <v>72</v>
      </c>
      <c r="J11" s="47" t="s">
        <v>80</v>
      </c>
      <c r="K11" t="s">
        <v>81</v>
      </c>
    </row>
    <row r="12" spans="1:12" x14ac:dyDescent="0.2">
      <c r="F12" s="37">
        <v>41415</v>
      </c>
      <c r="G12" t="s">
        <v>82</v>
      </c>
      <c r="H12" t="s">
        <v>83</v>
      </c>
      <c r="I12" t="s">
        <v>71</v>
      </c>
      <c r="J12" s="47" t="s">
        <v>85</v>
      </c>
      <c r="K12" t="s">
        <v>81</v>
      </c>
    </row>
    <row r="13" spans="1:12" x14ac:dyDescent="0.2">
      <c r="F13" s="37">
        <v>41415</v>
      </c>
      <c r="G13" t="s">
        <v>82</v>
      </c>
      <c r="H13" t="s">
        <v>84</v>
      </c>
      <c r="I13" t="s">
        <v>1</v>
      </c>
      <c r="J13" s="47" t="s">
        <v>86</v>
      </c>
      <c r="K13" t="s">
        <v>87</v>
      </c>
    </row>
    <row r="14" spans="1:12" x14ac:dyDescent="0.2">
      <c r="F14" s="37"/>
    </row>
    <row r="15" spans="1:12" x14ac:dyDescent="0.2">
      <c r="F15" s="37"/>
    </row>
    <row r="16" spans="1:12" x14ac:dyDescent="0.2">
      <c r="F16" s="37"/>
    </row>
    <row r="17" spans="6:6" x14ac:dyDescent="0.2">
      <c r="F17" s="37"/>
    </row>
    <row r="18" spans="6:6" x14ac:dyDescent="0.2">
      <c r="F18" s="37"/>
    </row>
    <row r="19" spans="6:6" x14ac:dyDescent="0.2">
      <c r="F19" s="37"/>
    </row>
    <row r="20" spans="6:6" x14ac:dyDescent="0.2">
      <c r="F20" s="37"/>
    </row>
    <row r="21" spans="6:6" x14ac:dyDescent="0.2">
      <c r="F21" s="37"/>
    </row>
    <row r="22" spans="6:6" x14ac:dyDescent="0.2">
      <c r="F22" s="37"/>
    </row>
  </sheetData>
  <mergeCells count="1">
    <mergeCell ref="A3:E3"/>
  </mergeCells>
  <conditionalFormatting sqref="F4">
    <cfRule type="cellIs" dxfId="1" priority="1" operator="notEqual">
      <formula>0</formula>
    </cfRule>
  </conditionalFormatting>
  <hyperlinks>
    <hyperlink ref="F4" location="Overall_Error_Check" tooltip="Go to Overall Error Check" display="Overall_Error_Check" xr:uid="{00000000-0004-0000-0600-000000000000}"/>
    <hyperlink ref="A3:E3" location="HL_Navigator" tooltip="Go to Navigator (Table of Contents)" display="Navigator" xr:uid="{00000000-0004-0000-0600-000001000000}"/>
    <hyperlink ref="A3" location="HL_Navigator" display="Navigator" xr:uid="{00000000-0004-0000-0600-000002000000}"/>
  </hyperlink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21"/>
  <sheetViews>
    <sheetView showGridLines="0" zoomScaleNormal="100" workbookViewId="0">
      <pane ySplit="4" topLeftCell="A5" activePane="bottomLeft" state="frozen"/>
      <selection pane="bottomLeft" activeCell="A5" sqref="A5"/>
    </sheetView>
  </sheetViews>
  <sheetFormatPr defaultRowHeight="12" x14ac:dyDescent="0.2"/>
  <cols>
    <col min="1" max="5" width="3.7109375" customWidth="1"/>
    <col min="6" max="6" width="17.7109375" customWidth="1"/>
  </cols>
  <sheetData>
    <row r="1" spans="1:12" ht="20.25" x14ac:dyDescent="0.3">
      <c r="A1" s="14" t="s">
        <v>1</v>
      </c>
      <c r="F1" s="12"/>
      <c r="G1" s="12"/>
    </row>
    <row r="2" spans="1:12" ht="18" x14ac:dyDescent="0.25">
      <c r="A2" s="16" t="str">
        <f ca="1">Model_Name</f>
        <v>Chapter 7.5 - SP Internal Rate of Return Summary Examples.xlsx</v>
      </c>
    </row>
    <row r="3" spans="1:12" x14ac:dyDescent="0.2">
      <c r="A3" s="11" t="s">
        <v>1</v>
      </c>
      <c r="B3" s="11"/>
      <c r="C3" s="11"/>
      <c r="D3" s="11"/>
      <c r="E3" s="11"/>
    </row>
    <row r="4" spans="1:12" ht="14.25" x14ac:dyDescent="0.2">
      <c r="E4" t="s">
        <v>2</v>
      </c>
      <c r="G4" s="24">
        <f>Overall_Error_Check</f>
        <v>0</v>
      </c>
    </row>
    <row r="7" spans="1:12" ht="16.5" thickBot="1" x14ac:dyDescent="0.3">
      <c r="B7" s="41">
        <v>1</v>
      </c>
      <c r="C7" s="41" t="s">
        <v>25</v>
      </c>
      <c r="D7" s="41"/>
      <c r="E7" s="41"/>
      <c r="F7" s="41"/>
      <c r="G7" s="41"/>
      <c r="H7" s="41"/>
      <c r="I7" s="41"/>
      <c r="J7" s="41"/>
      <c r="K7" s="41"/>
      <c r="L7" s="41"/>
    </row>
    <row r="8" spans="1:12" ht="12.75" thickTop="1" x14ac:dyDescent="0.2"/>
    <row r="9" spans="1:12" x14ac:dyDescent="0.2">
      <c r="F9" s="89" t="s">
        <v>26</v>
      </c>
    </row>
    <row r="10" spans="1:12" x14ac:dyDescent="0.2">
      <c r="F10" s="89" t="s">
        <v>27</v>
      </c>
    </row>
    <row r="11" spans="1:12" x14ac:dyDescent="0.2">
      <c r="F11" s="89" t="s">
        <v>0</v>
      </c>
    </row>
    <row r="12" spans="1:12" x14ac:dyDescent="0.2">
      <c r="F12" s="89" t="s">
        <v>101</v>
      </c>
    </row>
    <row r="13" spans="1:12" x14ac:dyDescent="0.2">
      <c r="F13" s="89" t="s">
        <v>151</v>
      </c>
    </row>
    <row r="14" spans="1:12" x14ac:dyDescent="0.2">
      <c r="F14" s="89" t="s">
        <v>152</v>
      </c>
    </row>
    <row r="15" spans="1:12" x14ac:dyDescent="0.2">
      <c r="F15" s="89" t="s">
        <v>153</v>
      </c>
    </row>
    <row r="16" spans="1:12" x14ac:dyDescent="0.2">
      <c r="F16" s="89" t="s">
        <v>154</v>
      </c>
    </row>
    <row r="17" spans="6:6" x14ac:dyDescent="0.2">
      <c r="F17" s="89" t="s">
        <v>155</v>
      </c>
    </row>
    <row r="18" spans="6:6" x14ac:dyDescent="0.2">
      <c r="F18" s="89" t="s">
        <v>145</v>
      </c>
    </row>
    <row r="19" spans="6:6" x14ac:dyDescent="0.2">
      <c r="F19" s="89" t="s">
        <v>156</v>
      </c>
    </row>
    <row r="20" spans="6:6" x14ac:dyDescent="0.2">
      <c r="F20" s="89" t="s">
        <v>66</v>
      </c>
    </row>
    <row r="21" spans="6:6" x14ac:dyDescent="0.2">
      <c r="F21" s="89" t="s">
        <v>72</v>
      </c>
    </row>
  </sheetData>
  <conditionalFormatting sqref="G4">
    <cfRule type="cellIs" dxfId="16" priority="1" operator="equal">
      <formula>1</formula>
    </cfRule>
  </conditionalFormatting>
  <hyperlinks>
    <hyperlink ref="A3:E3" location="HL_Navigator" tooltip="Go to Navigator (Table of Contents)" display="Navigator" xr:uid="{00000000-0004-0000-0100-000000000000}"/>
    <hyperlink ref="F9" location="HL_1" display="Cover" xr:uid="{1B148E5D-DF24-4F3F-A054-F2D1631F75B3}"/>
    <hyperlink ref="F10" location="HL_3" display="Style Guide" xr:uid="{E751D76C-000A-401F-A422-CF06697CF4B8}"/>
    <hyperlink ref="F11" location="HL_4" display="Model Parameters" xr:uid="{35853DBE-1D81-41C4-8A01-1D9554AA3887}"/>
    <hyperlink ref="F12" location="HL_5" display="IRR vs. XIRR" xr:uid="{69D448AC-4F47-4C13-A588-B41B881ADD92}"/>
    <hyperlink ref="F13" location="HL_6" display="Care with Date" xr:uid="{D493D480-5450-4668-9F52-69A51AA8C635}"/>
    <hyperlink ref="F14" location="HL_7" display="Value Not Right" xr:uid="{F7EB8EAF-54BC-4E36-85CC-14E33123D607}"/>
    <hyperlink ref="F15" location="HL_8" display="Positive Number" xr:uid="{913BD169-72C9-4FDB-ABAA-8199E318A5F3}"/>
    <hyperlink ref="F16" location="HL_9" display="Considering Orders" xr:uid="{9F686538-4A50-4E52-8904-720421FE07D3}"/>
    <hyperlink ref="F17" location="HL_10" display="Unreliable_XNPV" xr:uid="{3DF85D9E-D7CE-44EB-A81C-356B2E7F2CA1}"/>
    <hyperlink ref="F18" location="HL_11" display="XIRR Examples" xr:uid="{3A16D3DA-C1D6-4FF6-9803-115AE248957D}"/>
    <hyperlink ref="F19" location="HL_12" display="XIRR Examples_Negative Start" xr:uid="{98894711-9F6C-4E5E-9DEC-090CFFC18253}"/>
    <hyperlink ref="F20" location="HL_13" display="Error Checks" xr:uid="{3C27E7D4-CFB0-48A1-8C2B-871F797BDC86}"/>
    <hyperlink ref="F21" location="HL_14" display="Change Log" xr:uid="{AC1DF526-655E-44BA-994D-1CA0CA78F93D}"/>
  </hyperlink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outlinePr summaryBelow="0"/>
  </sheetPr>
  <dimension ref="A1:O81"/>
  <sheetViews>
    <sheetView showGridLines="0" zoomScaleNormal="100" workbookViewId="0">
      <pane ySplit="4" topLeftCell="A5" activePane="bottomLeft" state="frozen"/>
      <selection pane="bottomLeft" activeCell="A5" sqref="A5"/>
    </sheetView>
  </sheetViews>
  <sheetFormatPr defaultColWidth="0" defaultRowHeight="12" outlineLevelRow="1" x14ac:dyDescent="0.2"/>
  <cols>
    <col min="1" max="5" width="3.7109375" customWidth="1"/>
    <col min="6" max="7" width="9.140625" customWidth="1"/>
    <col min="8" max="8" width="1.7109375" customWidth="1"/>
    <col min="9" max="9" width="17.28515625" bestFit="1" customWidth="1"/>
    <col min="10" max="10" width="1.7109375" customWidth="1"/>
    <col min="11" max="11" width="23.42578125" customWidth="1"/>
    <col min="12" max="13" width="9.140625" customWidth="1"/>
    <col min="14" max="14" width="1.7109375" customWidth="1"/>
    <col min="15" max="15" width="0" hidden="1" customWidth="1"/>
    <col min="16" max="16384" width="9.140625" hidden="1"/>
  </cols>
  <sheetData>
    <row r="1" spans="1:13" ht="20.25" x14ac:dyDescent="0.3">
      <c r="A1" s="14" t="str">
        <f ca="1">IF(ISERROR(RIGHT(CELL("filename",A1),LEN(CELL("filename",A1))-FIND("]",CELL("filename",A1)))),
"",
RIGHT(CELL("filename",A1),LEN(CELL("filename",A1))-FIND("]",CELL("filename",A1))))</f>
        <v>Style Guide</v>
      </c>
      <c r="K1" s="11"/>
    </row>
    <row r="2" spans="1:13" ht="18" x14ac:dyDescent="0.25">
      <c r="A2" s="16" t="str">
        <f ca="1">Model_Name</f>
        <v>Chapter 7.5 - SP Internal Rate of Return Summary Examples.xlsx</v>
      </c>
    </row>
    <row r="3" spans="1:13" x14ac:dyDescent="0.2">
      <c r="A3" s="91" t="s">
        <v>1</v>
      </c>
      <c r="B3" s="91"/>
      <c r="C3" s="91"/>
      <c r="D3" s="91"/>
      <c r="E3" s="91"/>
    </row>
    <row r="4" spans="1:13" ht="14.25" x14ac:dyDescent="0.2">
      <c r="E4" t="s">
        <v>2</v>
      </c>
      <c r="I4" s="1">
        <f>Overall_Error_Check</f>
        <v>0</v>
      </c>
    </row>
    <row r="5" spans="1:13" x14ac:dyDescent="0.2">
      <c r="A5" s="11"/>
    </row>
    <row r="6" spans="1:13" ht="16.5" thickBot="1" x14ac:dyDescent="0.3">
      <c r="B6" s="41">
        <f>MAX($B$5:$B5)+1</f>
        <v>1</v>
      </c>
      <c r="C6" s="2" t="s">
        <v>28</v>
      </c>
      <c r="D6" s="2"/>
      <c r="E6" s="2"/>
      <c r="F6" s="2"/>
      <c r="G6" s="2"/>
      <c r="H6" s="2"/>
      <c r="I6" s="2"/>
      <c r="J6" s="2"/>
      <c r="K6" s="2"/>
      <c r="L6" s="2"/>
      <c r="M6" s="2"/>
    </row>
    <row r="7" spans="1:13" ht="12.75" outlineLevel="1" thickTop="1" x14ac:dyDescent="0.2"/>
    <row r="8" spans="1:13" outlineLevel="1" x14ac:dyDescent="0.2">
      <c r="C8" s="93" t="s">
        <v>29</v>
      </c>
      <c r="D8" s="93"/>
      <c r="E8" s="93"/>
      <c r="F8" s="93"/>
      <c r="G8" s="93"/>
      <c r="H8" s="13"/>
      <c r="I8" s="13" t="s">
        <v>30</v>
      </c>
      <c r="J8" s="13"/>
      <c r="K8" s="13" t="s">
        <v>31</v>
      </c>
    </row>
    <row r="9" spans="1:13" outlineLevel="1" x14ac:dyDescent="0.2">
      <c r="C9" s="92"/>
      <c r="D9" s="92"/>
      <c r="E9" s="92"/>
      <c r="F9" s="92"/>
      <c r="G9" s="92"/>
      <c r="K9" s="17"/>
    </row>
    <row r="10" spans="1:13" ht="20.25" outlineLevel="1" x14ac:dyDescent="0.3">
      <c r="C10" s="92" t="s">
        <v>32</v>
      </c>
      <c r="D10" s="92"/>
      <c r="E10" s="92"/>
      <c r="F10" s="92"/>
      <c r="G10" s="92"/>
      <c r="I10" s="14" t="str">
        <f>C10</f>
        <v>Sheet Title</v>
      </c>
      <c r="K10" s="15" t="s">
        <v>32</v>
      </c>
    </row>
    <row r="11" spans="1:13" ht="18" outlineLevel="1" x14ac:dyDescent="0.25">
      <c r="C11" s="92" t="s">
        <v>5</v>
      </c>
      <c r="D11" s="92"/>
      <c r="E11" s="92"/>
      <c r="F11" s="92"/>
      <c r="G11" s="92"/>
      <c r="I11" s="16" t="str">
        <f>C11</f>
        <v>Model Name</v>
      </c>
      <c r="K11" s="15" t="s">
        <v>5</v>
      </c>
    </row>
    <row r="12" spans="1:13" outlineLevel="1" x14ac:dyDescent="0.2">
      <c r="C12" s="92"/>
      <c r="D12" s="92"/>
      <c r="E12" s="92"/>
      <c r="F12" s="92"/>
      <c r="G12" s="92"/>
      <c r="K12" s="17"/>
    </row>
    <row r="13" spans="1:13" ht="16.5" outlineLevel="1" thickBot="1" x14ac:dyDescent="0.3">
      <c r="C13" s="92" t="s">
        <v>33</v>
      </c>
      <c r="D13" s="92"/>
      <c r="E13" s="92"/>
      <c r="F13" s="92"/>
      <c r="G13" s="92"/>
      <c r="I13" s="40" t="str">
        <f>C13</f>
        <v>Header 1</v>
      </c>
      <c r="K13" s="15" t="s">
        <v>33</v>
      </c>
    </row>
    <row r="14" spans="1:13" ht="17.25" outlineLevel="1" thickTop="1" x14ac:dyDescent="0.25">
      <c r="C14" s="92" t="s">
        <v>34</v>
      </c>
      <c r="D14" s="92"/>
      <c r="E14" s="92"/>
      <c r="F14" s="92"/>
      <c r="G14" s="92"/>
      <c r="I14" s="3" t="str">
        <f>C14</f>
        <v>Header 2</v>
      </c>
      <c r="K14" s="15" t="s">
        <v>34</v>
      </c>
    </row>
    <row r="15" spans="1:13" ht="15" outlineLevel="1" x14ac:dyDescent="0.25">
      <c r="C15" s="92" t="s">
        <v>35</v>
      </c>
      <c r="D15" s="92"/>
      <c r="E15" s="92"/>
      <c r="F15" s="92"/>
      <c r="G15" s="92"/>
      <c r="I15" s="4" t="str">
        <f>C15</f>
        <v>Header 3</v>
      </c>
      <c r="K15" s="15" t="s">
        <v>35</v>
      </c>
    </row>
    <row r="16" spans="1:13" ht="15" outlineLevel="1" x14ac:dyDescent="0.25">
      <c r="C16" s="92" t="s">
        <v>36</v>
      </c>
      <c r="D16" s="92"/>
      <c r="E16" s="92"/>
      <c r="F16" s="92"/>
      <c r="G16" s="92"/>
      <c r="I16" s="18" t="str">
        <f>C16</f>
        <v>Header 4</v>
      </c>
      <c r="K16" s="15" t="s">
        <v>36</v>
      </c>
    </row>
    <row r="17" spans="2:14" outlineLevel="1" x14ac:dyDescent="0.2">
      <c r="C17" s="92"/>
      <c r="D17" s="92"/>
      <c r="E17" s="92"/>
      <c r="F17" s="92"/>
      <c r="G17" s="92"/>
      <c r="K17" s="17"/>
    </row>
    <row r="18" spans="2:14" ht="15" outlineLevel="1" x14ac:dyDescent="0.25">
      <c r="C18" s="92" t="s">
        <v>37</v>
      </c>
      <c r="D18" s="92"/>
      <c r="E18" s="92"/>
      <c r="F18" s="92"/>
      <c r="G18" s="92"/>
      <c r="I18" s="19" t="str">
        <f>C18</f>
        <v>Notes</v>
      </c>
      <c r="K18" s="15" t="s">
        <v>37</v>
      </c>
    </row>
    <row r="19" spans="2:14" outlineLevel="1" x14ac:dyDescent="0.2">
      <c r="C19" s="92"/>
      <c r="D19" s="92"/>
      <c r="E19" s="92"/>
      <c r="F19" s="92"/>
      <c r="G19" s="92"/>
      <c r="K19" s="17"/>
      <c r="N19" s="19"/>
    </row>
    <row r="20" spans="2:14" ht="15" outlineLevel="1" x14ac:dyDescent="0.25">
      <c r="C20" s="92" t="s">
        <v>38</v>
      </c>
      <c r="D20" s="92"/>
      <c r="E20" s="92"/>
      <c r="F20" s="92"/>
      <c r="G20" s="92"/>
      <c r="I20" s="13" t="str">
        <f>C20</f>
        <v>Table Heading</v>
      </c>
      <c r="K20" s="15" t="s">
        <v>38</v>
      </c>
    </row>
    <row r="21" spans="2:14" outlineLevel="1" x14ac:dyDescent="0.2"/>
    <row r="22" spans="2:14" outlineLevel="1" x14ac:dyDescent="0.2"/>
    <row r="23" spans="2:14" ht="16.5" thickBot="1" x14ac:dyDescent="0.3">
      <c r="B23" s="41">
        <f>MAX($B$5:$B22)+1</f>
        <v>2</v>
      </c>
      <c r="C23" s="2" t="s">
        <v>39</v>
      </c>
      <c r="D23" s="2"/>
      <c r="E23" s="2"/>
      <c r="F23" s="2"/>
      <c r="G23" s="2"/>
      <c r="H23" s="2"/>
      <c r="I23" s="2"/>
      <c r="J23" s="2"/>
      <c r="K23" s="2"/>
      <c r="L23" s="2"/>
      <c r="M23" s="2"/>
    </row>
    <row r="24" spans="2:14" ht="12.75" outlineLevel="1" thickTop="1" x14ac:dyDescent="0.2"/>
    <row r="25" spans="2:14" outlineLevel="1" x14ac:dyDescent="0.2">
      <c r="C25" s="93" t="s">
        <v>29</v>
      </c>
      <c r="D25" s="93"/>
      <c r="E25" s="93"/>
      <c r="F25" s="93"/>
      <c r="G25" s="93"/>
      <c r="H25" s="13"/>
      <c r="I25" s="13" t="s">
        <v>30</v>
      </c>
      <c r="J25" s="13"/>
      <c r="K25" s="13" t="s">
        <v>31</v>
      </c>
    </row>
    <row r="26" spans="2:14" ht="15" outlineLevel="1" x14ac:dyDescent="0.25">
      <c r="C26" s="92"/>
      <c r="D26" s="92"/>
      <c r="E26" s="92"/>
      <c r="F26" s="92"/>
      <c r="G26" s="92"/>
      <c r="K26" s="15"/>
    </row>
    <row r="27" spans="2:14" ht="15" outlineLevel="1" x14ac:dyDescent="0.25">
      <c r="C27" s="92" t="s">
        <v>40</v>
      </c>
      <c r="D27" s="92"/>
      <c r="E27" s="92"/>
      <c r="F27" s="92"/>
      <c r="G27" s="92"/>
      <c r="I27" s="20" t="s">
        <v>40</v>
      </c>
      <c r="K27" s="21" t="str">
        <f>C27</f>
        <v>Assumption</v>
      </c>
    </row>
    <row r="28" spans="2:14" ht="15" outlineLevel="1" x14ac:dyDescent="0.25">
      <c r="C28" s="92"/>
      <c r="D28" s="92"/>
      <c r="E28" s="92"/>
      <c r="F28" s="92"/>
      <c r="G28" s="92"/>
      <c r="K28" s="21"/>
    </row>
    <row r="29" spans="2:14" ht="15" outlineLevel="1" x14ac:dyDescent="0.25">
      <c r="C29" s="92" t="s">
        <v>41</v>
      </c>
      <c r="D29" s="92"/>
      <c r="E29" s="92"/>
      <c r="F29" s="92"/>
      <c r="G29" s="92"/>
      <c r="I29" s="22" t="str">
        <f>C29</f>
        <v>Constraint</v>
      </c>
      <c r="K29" s="21" t="str">
        <f>C29</f>
        <v>Constraint</v>
      </c>
    </row>
    <row r="30" spans="2:14" ht="15" outlineLevel="1" x14ac:dyDescent="0.25">
      <c r="C30" s="92"/>
      <c r="D30" s="92"/>
      <c r="E30" s="92"/>
      <c r="F30" s="92"/>
      <c r="G30" s="92"/>
      <c r="K30" s="21"/>
    </row>
    <row r="31" spans="2:14" ht="15" outlineLevel="1" x14ac:dyDescent="0.25">
      <c r="C31" s="92" t="s">
        <v>42</v>
      </c>
      <c r="D31" s="92"/>
      <c r="E31" s="92"/>
      <c r="F31" s="92"/>
      <c r="G31" s="92"/>
      <c r="I31" s="23"/>
      <c r="K31" s="21" t="str">
        <f>C31</f>
        <v>Empty</v>
      </c>
    </row>
    <row r="32" spans="2:14" ht="15" outlineLevel="1" x14ac:dyDescent="0.25">
      <c r="C32" s="92"/>
      <c r="D32" s="92"/>
      <c r="E32" s="92"/>
      <c r="F32" s="92"/>
      <c r="G32" s="92"/>
      <c r="K32" s="21"/>
    </row>
    <row r="33" spans="3:11" ht="15" outlineLevel="1" x14ac:dyDescent="0.25">
      <c r="C33" t="s">
        <v>43</v>
      </c>
      <c r="I33" s="24">
        <v>0</v>
      </c>
      <c r="K33" s="21" t="str">
        <f>C33</f>
        <v>Error Check</v>
      </c>
    </row>
    <row r="34" spans="3:11" ht="15" outlineLevel="1" x14ac:dyDescent="0.25">
      <c r="K34" s="21"/>
    </row>
    <row r="35" spans="3:11" ht="15" outlineLevel="1" x14ac:dyDescent="0.25">
      <c r="C35" s="92" t="s">
        <v>44</v>
      </c>
      <c r="D35" s="92"/>
      <c r="E35" s="92"/>
      <c r="F35" s="92"/>
      <c r="G35" s="92"/>
      <c r="I35" s="11" t="s">
        <v>44</v>
      </c>
      <c r="K35" s="21" t="str">
        <f>C35</f>
        <v>Hyperlink</v>
      </c>
    </row>
    <row r="36" spans="3:11" ht="15" outlineLevel="1" x14ac:dyDescent="0.25">
      <c r="C36" s="92"/>
      <c r="D36" s="92"/>
      <c r="E36" s="92"/>
      <c r="F36" s="92"/>
      <c r="G36" s="92"/>
      <c r="K36" s="21"/>
    </row>
    <row r="37" spans="3:11" ht="15" outlineLevel="1" x14ac:dyDescent="0.25">
      <c r="C37" s="92" t="s">
        <v>45</v>
      </c>
      <c r="D37" s="92"/>
      <c r="E37" s="92"/>
      <c r="F37" s="92"/>
      <c r="G37" s="92"/>
      <c r="I37" s="25" t="str">
        <f>'Error Checks'!E12</f>
        <v>Example</v>
      </c>
      <c r="K37" s="21" t="str">
        <f>C37</f>
        <v>Internal Reference</v>
      </c>
    </row>
    <row r="38" spans="3:11" ht="15" outlineLevel="1" x14ac:dyDescent="0.25">
      <c r="C38" s="92"/>
      <c r="D38" s="92"/>
      <c r="E38" s="92"/>
      <c r="F38" s="92"/>
      <c r="G38" s="92"/>
      <c r="K38" s="21"/>
    </row>
    <row r="39" spans="3:11" ht="15" outlineLevel="1" x14ac:dyDescent="0.25">
      <c r="C39" s="92" t="s">
        <v>46</v>
      </c>
      <c r="D39" s="92"/>
      <c r="E39" s="92"/>
      <c r="F39" s="92"/>
      <c r="G39" s="92"/>
      <c r="I39" s="26">
        <v>77</v>
      </c>
      <c r="K39" s="21" t="s">
        <v>47</v>
      </c>
    </row>
    <row r="40" spans="3:11" ht="15" outlineLevel="1" x14ac:dyDescent="0.25">
      <c r="C40" s="92"/>
      <c r="D40" s="92"/>
      <c r="E40" s="92"/>
      <c r="F40" s="92"/>
      <c r="G40" s="92"/>
      <c r="K40" s="21"/>
    </row>
    <row r="41" spans="3:11" ht="15" outlineLevel="1" x14ac:dyDescent="0.25">
      <c r="C41" s="92" t="s">
        <v>48</v>
      </c>
      <c r="D41" s="92"/>
      <c r="E41" s="92"/>
      <c r="F41" s="92"/>
      <c r="G41" s="92"/>
      <c r="I41" s="27">
        <f>I39</f>
        <v>77</v>
      </c>
      <c r="K41" s="21" t="str">
        <f>C41</f>
        <v>Line Total</v>
      </c>
    </row>
    <row r="42" spans="3:11" ht="15" outlineLevel="1" x14ac:dyDescent="0.25">
      <c r="C42" s="92"/>
      <c r="D42" s="92"/>
      <c r="E42" s="92"/>
      <c r="F42" s="92"/>
      <c r="G42" s="92"/>
      <c r="K42" s="21"/>
    </row>
    <row r="43" spans="3:11" ht="15" outlineLevel="1" x14ac:dyDescent="0.25">
      <c r="C43" s="92" t="s">
        <v>49</v>
      </c>
      <c r="D43" s="92"/>
      <c r="E43" s="92"/>
      <c r="F43" s="92"/>
      <c r="G43" s="92"/>
      <c r="I43" s="28">
        <v>365</v>
      </c>
      <c r="K43" s="21" t="str">
        <f>C43</f>
        <v>Parameter</v>
      </c>
    </row>
    <row r="44" spans="3:11" ht="15" outlineLevel="1" x14ac:dyDescent="0.25">
      <c r="C44" s="92"/>
      <c r="D44" s="92"/>
      <c r="E44" s="92"/>
      <c r="F44" s="92"/>
      <c r="G44" s="92"/>
      <c r="K44" s="21"/>
    </row>
    <row r="45" spans="3:11" ht="15" outlineLevel="1" x14ac:dyDescent="0.25">
      <c r="C45" s="92" t="s">
        <v>50</v>
      </c>
      <c r="D45" s="92"/>
      <c r="E45" s="92"/>
      <c r="F45" s="92"/>
      <c r="G45" s="92"/>
      <c r="I45" s="29" t="s">
        <v>51</v>
      </c>
      <c r="K45" s="21" t="str">
        <f>C45</f>
        <v>Range Name Description</v>
      </c>
    </row>
    <row r="46" spans="3:11" ht="15" outlineLevel="1" x14ac:dyDescent="0.25">
      <c r="C46" s="92"/>
      <c r="D46" s="92"/>
      <c r="E46" s="92"/>
      <c r="F46" s="92"/>
      <c r="G46" s="92"/>
      <c r="K46" s="21"/>
    </row>
    <row r="47" spans="3:11" ht="15" outlineLevel="1" x14ac:dyDescent="0.25">
      <c r="C47" s="92" t="s">
        <v>52</v>
      </c>
      <c r="D47" s="92"/>
      <c r="E47" s="92"/>
      <c r="F47" s="92"/>
      <c r="G47" s="92"/>
      <c r="I47" s="30">
        <f>ROW(C47)</f>
        <v>47</v>
      </c>
      <c r="K47" s="21" t="s">
        <v>53</v>
      </c>
    </row>
    <row r="48" spans="3:11" ht="15" outlineLevel="1" x14ac:dyDescent="0.25">
      <c r="C48" s="92"/>
      <c r="D48" s="92"/>
      <c r="E48" s="92"/>
      <c r="F48" s="92"/>
      <c r="G48" s="92"/>
      <c r="K48" s="21"/>
    </row>
    <row r="49" spans="2:13" ht="15" outlineLevel="1" x14ac:dyDescent="0.25">
      <c r="C49" s="92" t="s">
        <v>54</v>
      </c>
      <c r="D49" s="92"/>
      <c r="E49" s="92"/>
      <c r="F49" s="92"/>
      <c r="G49" s="92"/>
      <c r="I49" s="31">
        <f>I41</f>
        <v>77</v>
      </c>
      <c r="K49" s="21" t="str">
        <f>C49</f>
        <v>Row Summary</v>
      </c>
    </row>
    <row r="50" spans="2:13" ht="15" outlineLevel="1" x14ac:dyDescent="0.25">
      <c r="C50" s="92"/>
      <c r="D50" s="92"/>
      <c r="E50" s="92"/>
      <c r="F50" s="92"/>
      <c r="G50" s="92"/>
      <c r="K50" s="21"/>
    </row>
    <row r="51" spans="2:13" ht="15" outlineLevel="1" x14ac:dyDescent="0.25">
      <c r="C51" s="92" t="s">
        <v>55</v>
      </c>
      <c r="D51" s="92"/>
      <c r="E51" s="92"/>
      <c r="F51" s="92"/>
      <c r="G51" s="92"/>
      <c r="I51" s="32" t="s">
        <v>70</v>
      </c>
      <c r="K51" s="21" t="str">
        <f>C51</f>
        <v>Units</v>
      </c>
    </row>
    <row r="52" spans="2:13" ht="15" outlineLevel="1" x14ac:dyDescent="0.25">
      <c r="C52" s="92"/>
      <c r="D52" s="92"/>
      <c r="E52" s="92"/>
      <c r="F52" s="92"/>
      <c r="G52" s="92"/>
      <c r="K52" s="21"/>
    </row>
    <row r="53" spans="2:13" ht="15" outlineLevel="1" x14ac:dyDescent="0.25">
      <c r="C53" s="92" t="s">
        <v>56</v>
      </c>
      <c r="D53" s="92"/>
      <c r="E53" s="92"/>
      <c r="F53" s="92"/>
      <c r="G53" s="92"/>
      <c r="I53" s="33"/>
      <c r="K53" s="21" t="str">
        <f>C53</f>
        <v>WIP</v>
      </c>
    </row>
    <row r="54" spans="2:13" ht="15" outlineLevel="1" x14ac:dyDescent="0.25">
      <c r="C54" s="92"/>
      <c r="D54" s="92"/>
      <c r="E54" s="92"/>
      <c r="F54" s="92"/>
      <c r="G54" s="92"/>
      <c r="K54" s="21"/>
    </row>
    <row r="55" spans="2:13" outlineLevel="1" x14ac:dyDescent="0.2">
      <c r="C55" s="92"/>
      <c r="D55" s="92"/>
      <c r="E55" s="92"/>
      <c r="F55" s="92"/>
      <c r="G55" s="92"/>
    </row>
    <row r="56" spans="2:13" ht="16.5" thickBot="1" x14ac:dyDescent="0.3">
      <c r="B56" s="41">
        <f>MAX($B$5:$B55)+1</f>
        <v>3</v>
      </c>
      <c r="C56" s="2" t="s">
        <v>57</v>
      </c>
      <c r="D56" s="2"/>
      <c r="E56" s="2"/>
      <c r="F56" s="2"/>
      <c r="G56" s="2"/>
      <c r="H56" s="2"/>
      <c r="I56" s="2"/>
      <c r="J56" s="2"/>
      <c r="K56" s="2"/>
      <c r="L56" s="2"/>
      <c r="M56" s="2"/>
    </row>
    <row r="57" spans="2:13" ht="12.75" outlineLevel="1" thickTop="1" x14ac:dyDescent="0.2"/>
    <row r="58" spans="2:13" outlineLevel="1" x14ac:dyDescent="0.2">
      <c r="C58" s="93" t="s">
        <v>29</v>
      </c>
      <c r="D58" s="93"/>
      <c r="E58" s="93"/>
      <c r="F58" s="93"/>
      <c r="G58" s="93"/>
      <c r="H58" s="13"/>
      <c r="I58" s="13" t="s">
        <v>30</v>
      </c>
      <c r="J58" s="13"/>
      <c r="K58" s="13" t="s">
        <v>31</v>
      </c>
    </row>
    <row r="59" spans="2:13" outlineLevel="1" x14ac:dyDescent="0.2"/>
    <row r="60" spans="2:13" ht="15" outlineLevel="1" x14ac:dyDescent="0.25">
      <c r="C60" s="92" t="s">
        <v>58</v>
      </c>
      <c r="D60" s="92"/>
      <c r="E60" s="92"/>
      <c r="F60" s="92"/>
      <c r="G60" s="92"/>
      <c r="I60" s="43">
        <v>123456.789</v>
      </c>
      <c r="K60" s="21" t="str">
        <f t="shared" ref="K60:K66" si="0">C60</f>
        <v>Comma</v>
      </c>
    </row>
    <row r="61" spans="2:13" ht="15" outlineLevel="1" x14ac:dyDescent="0.25">
      <c r="C61" s="92"/>
      <c r="D61" s="92"/>
      <c r="E61" s="92"/>
      <c r="F61" s="92"/>
      <c r="G61" s="92"/>
      <c r="K61" s="21"/>
    </row>
    <row r="62" spans="2:13" ht="15" outlineLevel="1" x14ac:dyDescent="0.25">
      <c r="C62" s="92" t="s">
        <v>59</v>
      </c>
      <c r="D62" s="92"/>
      <c r="E62" s="92"/>
      <c r="F62" s="92"/>
      <c r="G62" s="92"/>
      <c r="I62" s="42">
        <v>-123456.789</v>
      </c>
      <c r="K62" s="21" t="str">
        <f t="shared" si="0"/>
        <v>Comma [0]</v>
      </c>
    </row>
    <row r="63" spans="2:13" ht="15" outlineLevel="1" x14ac:dyDescent="0.25">
      <c r="C63" s="92"/>
      <c r="D63" s="92"/>
      <c r="E63" s="92"/>
      <c r="F63" s="92"/>
      <c r="G63" s="92"/>
      <c r="K63" s="21"/>
    </row>
    <row r="64" spans="2:13" ht="15" outlineLevel="1" x14ac:dyDescent="0.25">
      <c r="C64" s="92" t="s">
        <v>60</v>
      </c>
      <c r="D64" s="92"/>
      <c r="E64" s="92"/>
      <c r="F64" s="92"/>
      <c r="G64" s="92"/>
      <c r="I64" s="44">
        <v>123456.789</v>
      </c>
      <c r="K64" s="21" t="str">
        <f t="shared" si="0"/>
        <v>Currency</v>
      </c>
    </row>
    <row r="65" spans="3:11" ht="15" outlineLevel="1" x14ac:dyDescent="0.25">
      <c r="C65" s="92"/>
      <c r="D65" s="92"/>
      <c r="E65" s="92"/>
      <c r="F65" s="92"/>
      <c r="G65" s="92"/>
      <c r="K65" s="21"/>
    </row>
    <row r="66" spans="3:11" ht="15" outlineLevel="1" x14ac:dyDescent="0.25">
      <c r="C66" s="92" t="s">
        <v>61</v>
      </c>
      <c r="D66" s="92"/>
      <c r="E66" s="92"/>
      <c r="F66" s="92"/>
      <c r="G66" s="92"/>
      <c r="I66" s="45">
        <v>123456.789</v>
      </c>
      <c r="K66" s="21" t="str">
        <f t="shared" si="0"/>
        <v>Currency [0]</v>
      </c>
    </row>
    <row r="67" spans="3:11" ht="15" outlineLevel="1" x14ac:dyDescent="0.25">
      <c r="C67" s="92"/>
      <c r="D67" s="92"/>
      <c r="E67" s="92"/>
      <c r="F67" s="92"/>
      <c r="G67" s="92"/>
      <c r="K67" s="21"/>
    </row>
    <row r="68" spans="3:11" ht="15" outlineLevel="1" x14ac:dyDescent="0.25">
      <c r="C68" s="92" t="s">
        <v>62</v>
      </c>
      <c r="D68" s="92"/>
      <c r="E68" s="92"/>
      <c r="F68" s="92"/>
      <c r="G68" s="92"/>
      <c r="I68" s="46">
        <f ca="1">TODAY()</f>
        <v>43978</v>
      </c>
      <c r="K68" s="21" t="str">
        <f>C68</f>
        <v>Date</v>
      </c>
    </row>
    <row r="69" spans="3:11" ht="15" outlineLevel="1" x14ac:dyDescent="0.25">
      <c r="C69" s="92"/>
      <c r="D69" s="92"/>
      <c r="E69" s="92"/>
      <c r="F69" s="92"/>
      <c r="G69" s="92"/>
      <c r="K69" s="21"/>
    </row>
    <row r="70" spans="3:11" ht="15" outlineLevel="1" x14ac:dyDescent="0.25">
      <c r="C70" s="92" t="s">
        <v>63</v>
      </c>
      <c r="D70" s="92"/>
      <c r="E70" s="92"/>
      <c r="F70" s="92"/>
      <c r="G70" s="92"/>
      <c r="I70" s="38">
        <f ca="1">TODAY()</f>
        <v>43978</v>
      </c>
      <c r="K70" s="21" t="str">
        <f>C70</f>
        <v>Date Heading</v>
      </c>
    </row>
    <row r="71" spans="3:11" ht="15" outlineLevel="1" x14ac:dyDescent="0.25">
      <c r="C71" s="92"/>
      <c r="D71" s="92"/>
      <c r="E71" s="92"/>
      <c r="F71" s="92"/>
      <c r="G71" s="92"/>
      <c r="K71" s="21"/>
    </row>
    <row r="72" spans="3:11" ht="15" outlineLevel="1" x14ac:dyDescent="0.25">
      <c r="C72" s="92" t="s">
        <v>64</v>
      </c>
      <c r="D72" s="92"/>
      <c r="E72" s="92"/>
      <c r="F72" s="92"/>
      <c r="G72" s="92"/>
      <c r="I72" s="34">
        <v>-123456.789</v>
      </c>
      <c r="K72" s="21" t="str">
        <f>C72</f>
        <v>Numbers 0</v>
      </c>
    </row>
    <row r="73" spans="3:11" ht="15" outlineLevel="1" x14ac:dyDescent="0.25">
      <c r="C73" s="92"/>
      <c r="D73" s="92"/>
      <c r="E73" s="92"/>
      <c r="F73" s="92"/>
      <c r="G73" s="92"/>
      <c r="K73" s="21"/>
    </row>
    <row r="74" spans="3:11" ht="15" outlineLevel="1" x14ac:dyDescent="0.25">
      <c r="C74" s="92" t="s">
        <v>65</v>
      </c>
      <c r="D74" s="92"/>
      <c r="E74" s="92"/>
      <c r="F74" s="92"/>
      <c r="G74" s="92"/>
      <c r="I74" s="35">
        <v>0.5</v>
      </c>
      <c r="K74" s="21" t="str">
        <f>C74</f>
        <v>Percent</v>
      </c>
    </row>
    <row r="75" spans="3:11" outlineLevel="1" x14ac:dyDescent="0.2">
      <c r="C75" s="92"/>
      <c r="D75" s="92"/>
      <c r="E75" s="92"/>
      <c r="F75" s="92"/>
      <c r="G75" s="92"/>
    </row>
    <row r="76" spans="3:11" outlineLevel="1" x14ac:dyDescent="0.2">
      <c r="C76" s="92"/>
      <c r="D76" s="92"/>
      <c r="E76" s="92"/>
      <c r="F76" s="92"/>
      <c r="G76" s="92"/>
    </row>
    <row r="77" spans="3:11" x14ac:dyDescent="0.2">
      <c r="C77" s="92"/>
      <c r="D77" s="92"/>
      <c r="E77" s="92"/>
      <c r="F77" s="92"/>
      <c r="G77" s="92"/>
    </row>
    <row r="78" spans="3:11" x14ac:dyDescent="0.2">
      <c r="C78" s="92"/>
      <c r="D78" s="92"/>
      <c r="E78" s="92"/>
      <c r="F78" s="92"/>
      <c r="G78" s="92"/>
    </row>
    <row r="79" spans="3:11" x14ac:dyDescent="0.2">
      <c r="C79" s="92"/>
      <c r="D79" s="92"/>
      <c r="E79" s="92"/>
      <c r="F79" s="92"/>
      <c r="G79" s="92"/>
    </row>
    <row r="80" spans="3:11" x14ac:dyDescent="0.2">
      <c r="C80" s="92"/>
      <c r="D80" s="92"/>
      <c r="E80" s="92"/>
      <c r="F80" s="92"/>
      <c r="G80" s="92"/>
    </row>
    <row r="81" spans="3:7" x14ac:dyDescent="0.2">
      <c r="C81" s="92"/>
      <c r="D81" s="92"/>
      <c r="E81" s="92"/>
      <c r="F81" s="92"/>
      <c r="G81" s="92"/>
    </row>
  </sheetData>
  <mergeCells count="66">
    <mergeCell ref="C17:G17"/>
    <mergeCell ref="A3:E3"/>
    <mergeCell ref="C8:G8"/>
    <mergeCell ref="C9:G9"/>
    <mergeCell ref="C10:G10"/>
    <mergeCell ref="C11:G11"/>
    <mergeCell ref="C12:G12"/>
    <mergeCell ref="C13:G13"/>
    <mergeCell ref="C14:G14"/>
    <mergeCell ref="C15:G15"/>
    <mergeCell ref="C16:G16"/>
    <mergeCell ref="C35:G35"/>
    <mergeCell ref="C18:G18"/>
    <mergeCell ref="C19:G19"/>
    <mergeCell ref="C20:G20"/>
    <mergeCell ref="C25:G25"/>
    <mergeCell ref="C26:G26"/>
    <mergeCell ref="C27:G27"/>
    <mergeCell ref="C28:G28"/>
    <mergeCell ref="C29:G29"/>
    <mergeCell ref="C30:G30"/>
    <mergeCell ref="C31:G31"/>
    <mergeCell ref="C32:G32"/>
    <mergeCell ref="C47:G47"/>
    <mergeCell ref="C36:G36"/>
    <mergeCell ref="C37:G37"/>
    <mergeCell ref="C38:G38"/>
    <mergeCell ref="C39:G39"/>
    <mergeCell ref="C40:G40"/>
    <mergeCell ref="C41:G41"/>
    <mergeCell ref="C42:G42"/>
    <mergeCell ref="C43:G43"/>
    <mergeCell ref="C44:G44"/>
    <mergeCell ref="C45:G45"/>
    <mergeCell ref="C46:G46"/>
    <mergeCell ref="C62:G62"/>
    <mergeCell ref="C48:G48"/>
    <mergeCell ref="C49:G49"/>
    <mergeCell ref="C50:G50"/>
    <mergeCell ref="C51:G51"/>
    <mergeCell ref="C52:G52"/>
    <mergeCell ref="C53:G53"/>
    <mergeCell ref="C54:G54"/>
    <mergeCell ref="C55:G55"/>
    <mergeCell ref="C58:G58"/>
    <mergeCell ref="C60:G60"/>
    <mergeCell ref="C61:G61"/>
    <mergeCell ref="C74:G74"/>
    <mergeCell ref="C63:G63"/>
    <mergeCell ref="C64:G64"/>
    <mergeCell ref="C65:G65"/>
    <mergeCell ref="C66:G66"/>
    <mergeCell ref="C67:G67"/>
    <mergeCell ref="C68:G68"/>
    <mergeCell ref="C69:G69"/>
    <mergeCell ref="C70:G70"/>
    <mergeCell ref="C71:G71"/>
    <mergeCell ref="C72:G72"/>
    <mergeCell ref="C73:G73"/>
    <mergeCell ref="C81:G81"/>
    <mergeCell ref="C75:G75"/>
    <mergeCell ref="C76:G76"/>
    <mergeCell ref="C77:G77"/>
    <mergeCell ref="C78:G78"/>
    <mergeCell ref="C79:G79"/>
    <mergeCell ref="C80:G80"/>
  </mergeCells>
  <conditionalFormatting sqref="I4">
    <cfRule type="cellIs" dxfId="15" priority="1" operator="notEqual">
      <formula>0</formula>
    </cfRule>
  </conditionalFormatting>
  <hyperlinks>
    <hyperlink ref="A3:E3" location="HL_Navigator" tooltip="Go to Navigator (Table of Contents)" display="Navigator" xr:uid="{00000000-0004-0000-0200-000000000000}"/>
    <hyperlink ref="A3" location="HL_Navigator" display="Navigator" xr:uid="{00000000-0004-0000-0200-000001000000}"/>
    <hyperlink ref="I4" location="Overall_Error_Check" tooltip="Go to Overall Error Check" display="Overall_Error_Check" xr:uid="{00000000-0004-0000-0200-000002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2">
    <outlinePr summaryBelow="0"/>
  </sheetPr>
  <dimension ref="A1:S33"/>
  <sheetViews>
    <sheetView showGridLines="0" zoomScaleNormal="100" workbookViewId="0">
      <pane ySplit="4" topLeftCell="A5" activePane="bottomLeft" state="frozen"/>
      <selection activeCell="A3" sqref="A3:E3"/>
      <selection pane="bottomLeft" activeCell="A5" sqref="A5"/>
    </sheetView>
  </sheetViews>
  <sheetFormatPr defaultColWidth="0" defaultRowHeight="12" outlineLevelRow="1" x14ac:dyDescent="0.2"/>
  <cols>
    <col min="1" max="5" width="3.7109375" customWidth="1"/>
    <col min="6" max="6" width="16.28515625" customWidth="1"/>
    <col min="7" max="7" width="14.42578125" customWidth="1"/>
    <col min="8" max="8" width="3" customWidth="1"/>
    <col min="9" max="18" width="9.140625" customWidth="1"/>
    <col min="19" max="19" width="1.7109375" customWidth="1"/>
    <col min="20" max="16384" width="9.140625" hidden="1"/>
  </cols>
  <sheetData>
    <row r="1" spans="1:18" ht="20.25" x14ac:dyDescent="0.3">
      <c r="A1" s="14" t="str">
        <f ca="1">IF(ISERROR(RIGHT(CELL("filename",A1),LEN(CELL("filename",A1))-FIND("]",CELL("filename",A1)))),
"",
RIGHT(CELL("filename",A1),LEN(CELL("filename",A1))-FIND("]",CELL("filename",A1))))</f>
        <v>Model Parameters</v>
      </c>
      <c r="J1" s="48"/>
      <c r="K1" s="48"/>
    </row>
    <row r="2" spans="1:18" ht="18" x14ac:dyDescent="0.25">
      <c r="A2" s="16" t="str">
        <f ca="1">Model_Name</f>
        <v>Chapter 7.5 - SP Internal Rate of Return Summary Examples.xlsx</v>
      </c>
    </row>
    <row r="3" spans="1:18" x14ac:dyDescent="0.2">
      <c r="A3" s="91" t="s">
        <v>1</v>
      </c>
      <c r="B3" s="91"/>
      <c r="C3" s="91"/>
      <c r="D3" s="91"/>
      <c r="E3" s="91"/>
    </row>
    <row r="4" spans="1:18" ht="14.25" x14ac:dyDescent="0.2">
      <c r="E4" t="s">
        <v>2</v>
      </c>
      <c r="I4" s="1">
        <f>Overall_Error_Check</f>
        <v>0</v>
      </c>
    </row>
    <row r="6" spans="1:18" ht="16.5" thickBot="1" x14ac:dyDescent="0.3">
      <c r="B6" s="41">
        <f>MAX($B$5:$B5)+1</f>
        <v>1</v>
      </c>
      <c r="C6" s="2" t="s">
        <v>3</v>
      </c>
      <c r="D6" s="2"/>
      <c r="E6" s="2"/>
      <c r="F6" s="2"/>
      <c r="G6" s="2"/>
      <c r="H6" s="2"/>
      <c r="I6" s="2"/>
      <c r="J6" s="2"/>
      <c r="K6" s="2"/>
      <c r="L6" s="2"/>
      <c r="M6" s="2"/>
      <c r="N6" s="2"/>
      <c r="O6" s="2"/>
      <c r="P6" s="2"/>
      <c r="Q6" s="2"/>
      <c r="R6" s="2"/>
    </row>
    <row r="7" spans="1:18" ht="12.75" outlineLevel="1" thickTop="1" x14ac:dyDescent="0.2"/>
    <row r="8" spans="1:18" ht="16.5" outlineLevel="1" x14ac:dyDescent="0.25">
      <c r="C8" s="3" t="s">
        <v>4</v>
      </c>
    </row>
    <row r="9" spans="1:18" ht="16.5" outlineLevel="1" x14ac:dyDescent="0.25">
      <c r="C9" s="3"/>
    </row>
    <row r="10" spans="1:18" ht="16.5" outlineLevel="1" x14ac:dyDescent="0.25">
      <c r="C10" s="3"/>
      <c r="E10" s="4" t="s">
        <v>3</v>
      </c>
    </row>
    <row r="11" spans="1:18" outlineLevel="1" x14ac:dyDescent="0.2">
      <c r="E11" t="s">
        <v>5</v>
      </c>
      <c r="G11" s="94" t="str">
        <f ca="1">IF(ISERROR(OR(FIND("[",CELL("filename",A1)),FIND("]",CELL("filename",A1)))),"",MID(CELL("filename",A1),FIND("[",CELL("filename",A1))+1,FIND("]",CELL("filename",A1))-FIND("[",CELL("filename",A1))-1))</f>
        <v>Chapter 7.5 - SP Internal Rate of Return Summary Examples.xlsx</v>
      </c>
      <c r="H11" s="94"/>
      <c r="I11" s="94"/>
      <c r="J11" s="94"/>
      <c r="K11" s="94"/>
      <c r="L11" s="94"/>
      <c r="M11" s="94"/>
      <c r="N11" s="94"/>
    </row>
    <row r="12" spans="1:18" outlineLevel="1" x14ac:dyDescent="0.2">
      <c r="E12" t="s">
        <v>6</v>
      </c>
      <c r="G12" s="95" t="s">
        <v>88</v>
      </c>
      <c r="H12" s="95"/>
      <c r="I12" s="95"/>
      <c r="J12" s="95"/>
      <c r="K12" s="95"/>
      <c r="L12" s="95"/>
      <c r="M12" s="95"/>
      <c r="N12" s="95"/>
    </row>
    <row r="13" spans="1:18" outlineLevel="1" x14ac:dyDescent="0.2"/>
    <row r="14" spans="1:18" outlineLevel="1" x14ac:dyDescent="0.2"/>
    <row r="15" spans="1:18" ht="16.5" thickBot="1" x14ac:dyDescent="0.3">
      <c r="B15" s="41">
        <f>MAX($B$5:$B14)+1</f>
        <v>2</v>
      </c>
      <c r="C15" s="2" t="s">
        <v>7</v>
      </c>
      <c r="D15" s="2"/>
      <c r="E15" s="2"/>
      <c r="F15" s="2"/>
      <c r="G15" s="2"/>
      <c r="H15" s="2"/>
      <c r="I15" s="2"/>
      <c r="J15" s="2"/>
      <c r="K15" s="2"/>
      <c r="L15" s="2"/>
      <c r="M15" s="2"/>
      <c r="N15" s="2"/>
      <c r="O15" s="2"/>
      <c r="P15" s="2"/>
      <c r="Q15" s="2"/>
      <c r="R15" s="2"/>
    </row>
    <row r="16" spans="1:18" ht="12.75" outlineLevel="1" thickTop="1" x14ac:dyDescent="0.2"/>
    <row r="17" spans="3:7" ht="16.5" outlineLevel="1" x14ac:dyDescent="0.25">
      <c r="C17" s="3" t="s">
        <v>8</v>
      </c>
    </row>
    <row r="18" spans="3:7" outlineLevel="1" x14ac:dyDescent="0.2"/>
    <row r="19" spans="3:7" outlineLevel="1" x14ac:dyDescent="0.2">
      <c r="E19" t="s">
        <v>9</v>
      </c>
      <c r="G19" s="5">
        <v>365</v>
      </c>
    </row>
    <row r="20" spans="3:7" outlineLevel="1" x14ac:dyDescent="0.2">
      <c r="E20" t="s">
        <v>10</v>
      </c>
      <c r="G20" s="5">
        <v>1</v>
      </c>
    </row>
    <row r="21" spans="3:7" outlineLevel="1" x14ac:dyDescent="0.2">
      <c r="E21" t="s">
        <v>11</v>
      </c>
      <c r="G21" s="5">
        <v>3</v>
      </c>
    </row>
    <row r="22" spans="3:7" outlineLevel="1" x14ac:dyDescent="0.2">
      <c r="E22" t="s">
        <v>12</v>
      </c>
      <c r="G22" s="5">
        <v>6</v>
      </c>
    </row>
    <row r="23" spans="3:7" outlineLevel="1" x14ac:dyDescent="0.2">
      <c r="E23" t="s">
        <v>13</v>
      </c>
      <c r="G23" s="5">
        <v>12</v>
      </c>
    </row>
    <row r="24" spans="3:7" outlineLevel="1" x14ac:dyDescent="0.2">
      <c r="E24" t="s">
        <v>14</v>
      </c>
      <c r="G24" s="5">
        <v>4</v>
      </c>
    </row>
    <row r="25" spans="3:7" outlineLevel="1" x14ac:dyDescent="0.2"/>
    <row r="26" spans="3:7" outlineLevel="1" x14ac:dyDescent="0.2">
      <c r="E26" t="s">
        <v>15</v>
      </c>
      <c r="G26" s="5">
        <v>5</v>
      </c>
    </row>
    <row r="27" spans="3:7" outlineLevel="1" x14ac:dyDescent="0.2"/>
    <row r="28" spans="3:7" outlineLevel="1" x14ac:dyDescent="0.2">
      <c r="E28" t="s">
        <v>16</v>
      </c>
      <c r="G28" s="6">
        <v>9.9999999999999997E+98</v>
      </c>
    </row>
    <row r="29" spans="3:7" outlineLevel="1" x14ac:dyDescent="0.2">
      <c r="E29" t="s">
        <v>17</v>
      </c>
      <c r="G29" s="6">
        <v>1E-8</v>
      </c>
    </row>
    <row r="30" spans="3:7" outlineLevel="1" x14ac:dyDescent="0.2"/>
    <row r="31" spans="3:7" outlineLevel="1" x14ac:dyDescent="0.2">
      <c r="E31" t="s">
        <v>18</v>
      </c>
      <c r="G31" s="5">
        <v>1000</v>
      </c>
    </row>
    <row r="32" spans="3:7" outlineLevel="1" x14ac:dyDescent="0.2"/>
    <row r="33" outlineLevel="1" x14ac:dyDescent="0.2"/>
  </sheetData>
  <sheetProtection formatColumns="0" formatRows="0"/>
  <mergeCells count="3">
    <mergeCell ref="A3:E3"/>
    <mergeCell ref="G11:N11"/>
    <mergeCell ref="G12:N12"/>
  </mergeCells>
  <conditionalFormatting sqref="I4">
    <cfRule type="cellIs" dxfId="14" priority="1" operator="notEqual">
      <formula>0</formula>
    </cfRule>
  </conditionalFormatting>
  <hyperlinks>
    <hyperlink ref="A3:E3" location="HL_Navigator" tooltip="Go to Navigator (Table of Contents)" display="Navigator" xr:uid="{00000000-0004-0000-0300-000000000000}"/>
    <hyperlink ref="A3" location="HL_Navigator" display="Navigator" xr:uid="{00000000-0004-0000-0300-000001000000}"/>
    <hyperlink ref="I4" location="Overall_Error_Check" tooltip="Go to Overall Error Check" display="Overall_Error_Check" xr:uid="{00000000-0004-0000-0300-000002000000}"/>
  </hyperlinks>
  <pageMargins left="0.70866141732283472" right="0.70866141732283472" top="0.74803149606299213" bottom="0.74803149606299213" header="0.31496062992125984" footer="0.31496062992125984"/>
  <pageSetup paperSize="8" scale="7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294D9-A100-477A-A0A0-D31D9305BDCA}">
  <dimension ref="A1:R34"/>
  <sheetViews>
    <sheetView showGridLines="0" workbookViewId="0">
      <pane ySplit="4" topLeftCell="A5" activePane="bottomLeft" state="frozen"/>
      <selection pane="bottomLeft" activeCell="A5" sqref="A5"/>
    </sheetView>
  </sheetViews>
  <sheetFormatPr defaultColWidth="0" defaultRowHeight="12" zeroHeight="1" x14ac:dyDescent="0.2"/>
  <cols>
    <col min="1" max="1" width="3.7109375" customWidth="1"/>
    <col min="2" max="2" width="3.7109375" style="50" customWidth="1"/>
    <col min="3" max="4" width="3.7109375" customWidth="1"/>
    <col min="5" max="8" width="9" customWidth="1"/>
    <col min="9" max="16" width="12.7109375" customWidth="1"/>
    <col min="17" max="18" width="9" customWidth="1"/>
    <col min="19" max="16384" width="9" hidden="1"/>
  </cols>
  <sheetData>
    <row r="1" spans="1:17" ht="20.25" x14ac:dyDescent="0.3">
      <c r="A1" s="14" t="str">
        <f ca="1">IF(ISERROR(RIGHT(CELL("filename",A1),LEN(CELL("filename",A1))-FIND("]",CELL("filename",A1)))),
"",
RIGHT(CELL("filename",A1),LEN(CELL("filename",A1))-FIND("]",CELL("filename",A1))))</f>
        <v>IRR vs. XIRR</v>
      </c>
      <c r="C1" s="50"/>
      <c r="D1" s="50"/>
      <c r="E1" s="50"/>
      <c r="F1" s="50"/>
      <c r="G1" s="50"/>
      <c r="H1" s="50"/>
      <c r="I1" s="50"/>
      <c r="J1" s="50"/>
      <c r="K1" s="50"/>
      <c r="L1" s="50"/>
      <c r="M1" s="50"/>
      <c r="N1" s="50"/>
      <c r="O1" s="50"/>
      <c r="P1" s="50"/>
      <c r="Q1" s="50"/>
    </row>
    <row r="2" spans="1:17" s="50" customFormat="1" ht="18" x14ac:dyDescent="0.25">
      <c r="A2" s="16" t="str">
        <f ca="1">Model_Name</f>
        <v>Chapter 7.5 - SP Internal Rate of Return Summary Examples.xlsx</v>
      </c>
    </row>
    <row r="3" spans="1:17" s="50" customFormat="1" x14ac:dyDescent="0.2">
      <c r="A3" s="91" t="s">
        <v>1</v>
      </c>
      <c r="B3" s="91"/>
      <c r="C3" s="91"/>
      <c r="D3" s="91"/>
      <c r="E3" s="91"/>
    </row>
    <row r="4" spans="1:17" s="50" customFormat="1" ht="14.25" x14ac:dyDescent="0.2">
      <c r="E4" s="50" t="s">
        <v>2</v>
      </c>
      <c r="I4" s="1">
        <f>Overall_Error_Check</f>
        <v>0</v>
      </c>
    </row>
    <row r="5" spans="1:17" s="50" customFormat="1" x14ac:dyDescent="0.2">
      <c r="A5" s="49"/>
    </row>
    <row r="6" spans="1:17" ht="16.5" thickBot="1" x14ac:dyDescent="0.3">
      <c r="A6" s="50"/>
      <c r="B6" s="41">
        <f>MAX($B$5:$B5)+1</f>
        <v>1</v>
      </c>
      <c r="C6" s="2" t="str">
        <f ca="1">A1</f>
        <v>IRR vs. XIRR</v>
      </c>
      <c r="D6" s="2"/>
      <c r="E6" s="2"/>
      <c r="F6" s="2"/>
      <c r="G6" s="2"/>
      <c r="H6" s="2"/>
      <c r="I6" s="2"/>
      <c r="J6" s="2"/>
      <c r="K6" s="2"/>
      <c r="L6" s="2"/>
      <c r="M6" s="2"/>
      <c r="N6" s="2"/>
      <c r="O6" s="2"/>
      <c r="P6" s="2"/>
      <c r="Q6" s="2"/>
    </row>
    <row r="7" spans="1:17" ht="12.75" thickTop="1" x14ac:dyDescent="0.2">
      <c r="A7" s="50"/>
      <c r="C7" s="50"/>
      <c r="D7" s="50"/>
      <c r="E7" s="50"/>
      <c r="F7" s="50"/>
      <c r="G7" s="50"/>
      <c r="H7" s="50"/>
      <c r="I7" s="50"/>
      <c r="J7" s="50"/>
      <c r="K7" s="50"/>
      <c r="L7" s="50"/>
      <c r="M7" s="50"/>
      <c r="N7" s="50"/>
      <c r="O7" s="50"/>
      <c r="P7" s="50"/>
      <c r="Q7" s="50"/>
    </row>
    <row r="8" spans="1:17" ht="16.5" x14ac:dyDescent="0.25">
      <c r="C8" s="3" t="s">
        <v>101</v>
      </c>
    </row>
    <row r="9" spans="1:17" x14ac:dyDescent="0.2"/>
    <row r="10" spans="1:17" ht="15" x14ac:dyDescent="0.25">
      <c r="D10" s="4" t="s">
        <v>89</v>
      </c>
    </row>
    <row r="11" spans="1:17" s="50" customFormat="1" ht="12" customHeight="1" x14ac:dyDescent="0.25">
      <c r="D11" s="4"/>
    </row>
    <row r="12" spans="1:17" x14ac:dyDescent="0.2">
      <c r="I12" s="51" t="s">
        <v>90</v>
      </c>
      <c r="J12" s="51" t="s">
        <v>91</v>
      </c>
      <c r="K12" s="51" t="s">
        <v>92</v>
      </c>
      <c r="L12" s="51" t="s">
        <v>93</v>
      </c>
      <c r="M12" s="51" t="s">
        <v>94</v>
      </c>
      <c r="N12" s="51" t="s">
        <v>95</v>
      </c>
      <c r="O12" s="51" t="s">
        <v>96</v>
      </c>
      <c r="P12" s="51" t="s">
        <v>97</v>
      </c>
    </row>
    <row r="13" spans="1:17" x14ac:dyDescent="0.2">
      <c r="G13" t="s">
        <v>98</v>
      </c>
      <c r="H13" s="55">
        <f>IRR(I13:P13)</f>
        <v>1.6391222365521152E-2</v>
      </c>
      <c r="I13" s="57">
        <v>-50000</v>
      </c>
      <c r="J13" s="57">
        <v>18750</v>
      </c>
      <c r="K13" s="57">
        <v>12412</v>
      </c>
      <c r="L13" s="57">
        <v>57.16</v>
      </c>
      <c r="M13" s="57">
        <v>1655.22</v>
      </c>
      <c r="N13" s="57">
        <v>19450.66</v>
      </c>
      <c r="O13" s="57"/>
      <c r="P13" s="57"/>
    </row>
    <row r="14" spans="1:17" x14ac:dyDescent="0.2">
      <c r="G14" t="str">
        <f>G13</f>
        <v>IRR</v>
      </c>
      <c r="H14" s="55">
        <f>IRR(I14:P14)</f>
        <v>1.6391222365521152E-2</v>
      </c>
      <c r="I14" s="57"/>
      <c r="J14" s="57">
        <v>-50000</v>
      </c>
      <c r="K14" s="57">
        <v>18750</v>
      </c>
      <c r="L14" s="57">
        <v>12412</v>
      </c>
      <c r="M14" s="57">
        <v>57.16</v>
      </c>
      <c r="N14" s="57">
        <v>1655.22</v>
      </c>
      <c r="O14" s="57">
        <v>19450.66</v>
      </c>
      <c r="P14" s="57"/>
    </row>
    <row r="15" spans="1:17" x14ac:dyDescent="0.2">
      <c r="G15" t="str">
        <f>G14</f>
        <v>IRR</v>
      </c>
      <c r="H15" s="55">
        <f>IRR(I15:P15)</f>
        <v>1.6391222365521152E-2</v>
      </c>
      <c r="I15" s="57">
        <v>-50000</v>
      </c>
      <c r="J15" s="57"/>
      <c r="K15" s="57"/>
      <c r="L15" s="57">
        <v>18750</v>
      </c>
      <c r="M15" s="57">
        <v>12412</v>
      </c>
      <c r="N15" s="57">
        <v>57.16</v>
      </c>
      <c r="O15" s="57">
        <v>1655.22</v>
      </c>
      <c r="P15" s="57">
        <v>19450.66</v>
      </c>
    </row>
    <row r="16" spans="1:17" x14ac:dyDescent="0.2"/>
    <row r="17" spans="4:16" x14ac:dyDescent="0.2"/>
    <row r="18" spans="4:16" x14ac:dyDescent="0.2"/>
    <row r="19" spans="4:16" ht="15" x14ac:dyDescent="0.25">
      <c r="D19" s="4" t="s">
        <v>99</v>
      </c>
    </row>
    <row r="20" spans="4:16" s="50" customFormat="1" ht="12" customHeight="1" x14ac:dyDescent="0.25">
      <c r="D20" s="4"/>
    </row>
    <row r="21" spans="4:16" x14ac:dyDescent="0.2">
      <c r="I21" s="56">
        <f ca="1">TODAY()</f>
        <v>43978</v>
      </c>
      <c r="J21" s="56">
        <f ca="1">I21+77</f>
        <v>44055</v>
      </c>
      <c r="K21" s="56">
        <f ca="1">J21+159</f>
        <v>44214</v>
      </c>
      <c r="L21" s="56">
        <f ca="1">K21+365</f>
        <v>44579</v>
      </c>
      <c r="M21" s="56">
        <f ca="1">L21+55</f>
        <v>44634</v>
      </c>
      <c r="N21" s="56">
        <f ca="1">M21+731</f>
        <v>45365</v>
      </c>
      <c r="O21" s="56">
        <f ca="1">N21+181</f>
        <v>45546</v>
      </c>
      <c r="P21" s="56">
        <f ca="1">O21+731</f>
        <v>46277</v>
      </c>
    </row>
    <row r="22" spans="4:16" x14ac:dyDescent="0.2">
      <c r="G22" t="s">
        <v>100</v>
      </c>
      <c r="H22" s="55">
        <f ca="1">XIRR($I22:$P22,$I$21:$P$21)</f>
        <v>2.7698245644569394E-2</v>
      </c>
      <c r="I22" s="58">
        <f>I13</f>
        <v>-50000</v>
      </c>
      <c r="J22" s="58">
        <f t="shared" ref="J22:P22" si="0">J13</f>
        <v>18750</v>
      </c>
      <c r="K22" s="58">
        <f t="shared" si="0"/>
        <v>12412</v>
      </c>
      <c r="L22" s="58">
        <f t="shared" si="0"/>
        <v>57.16</v>
      </c>
      <c r="M22" s="58">
        <f t="shared" si="0"/>
        <v>1655.22</v>
      </c>
      <c r="N22" s="58">
        <f t="shared" si="0"/>
        <v>19450.66</v>
      </c>
      <c r="O22" s="58">
        <f t="shared" si="0"/>
        <v>0</v>
      </c>
      <c r="P22" s="58">
        <f t="shared" si="0"/>
        <v>0</v>
      </c>
    </row>
    <row r="23" spans="4:16" x14ac:dyDescent="0.2">
      <c r="G23" t="str">
        <f>G22</f>
        <v>XIRR</v>
      </c>
      <c r="H23" s="55">
        <f ca="1">XIRR($I23:$P23,$I$21:$P$21)</f>
        <v>2.9802322387695314E-9</v>
      </c>
      <c r="I23" s="58">
        <f t="shared" ref="I23:P24" si="1">I14</f>
        <v>0</v>
      </c>
      <c r="J23" s="58">
        <f t="shared" si="1"/>
        <v>-50000</v>
      </c>
      <c r="K23" s="58">
        <f t="shared" si="1"/>
        <v>18750</v>
      </c>
      <c r="L23" s="58">
        <f t="shared" si="1"/>
        <v>12412</v>
      </c>
      <c r="M23" s="58">
        <f t="shared" si="1"/>
        <v>57.16</v>
      </c>
      <c r="N23" s="58">
        <f t="shared" si="1"/>
        <v>1655.22</v>
      </c>
      <c r="O23" s="58">
        <f t="shared" si="1"/>
        <v>19450.66</v>
      </c>
      <c r="P23" s="58">
        <f t="shared" si="1"/>
        <v>0</v>
      </c>
    </row>
    <row r="24" spans="4:16" x14ac:dyDescent="0.2">
      <c r="G24" t="str">
        <f>G23</f>
        <v>XIRR</v>
      </c>
      <c r="H24" s="55">
        <f ca="1">XIRR($I24:$P24,$I$21:$P$21)</f>
        <v>1.319960653781891E-2</v>
      </c>
      <c r="I24" s="58">
        <f t="shared" si="1"/>
        <v>-50000</v>
      </c>
      <c r="J24" s="58">
        <f t="shared" si="1"/>
        <v>0</v>
      </c>
      <c r="K24" s="58">
        <f t="shared" si="1"/>
        <v>0</v>
      </c>
      <c r="L24" s="58">
        <f t="shared" si="1"/>
        <v>18750</v>
      </c>
      <c r="M24" s="58">
        <f t="shared" si="1"/>
        <v>12412</v>
      </c>
      <c r="N24" s="58">
        <f t="shared" si="1"/>
        <v>57.16</v>
      </c>
      <c r="O24" s="58">
        <f t="shared" si="1"/>
        <v>1655.22</v>
      </c>
      <c r="P24" s="58">
        <f t="shared" si="1"/>
        <v>19450.66</v>
      </c>
    </row>
    <row r="25" spans="4:16" x14ac:dyDescent="0.2"/>
    <row r="26" spans="4:16" x14ac:dyDescent="0.2"/>
    <row r="27" spans="4:16" x14ac:dyDescent="0.2"/>
    <row r="28" spans="4:16" x14ac:dyDescent="0.2"/>
    <row r="29" spans="4:16" x14ac:dyDescent="0.2"/>
    <row r="30" spans="4:16" x14ac:dyDescent="0.2"/>
    <row r="31" spans="4:16" x14ac:dyDescent="0.2"/>
    <row r="32" spans="4:16" x14ac:dyDescent="0.2"/>
    <row r="33" x14ac:dyDescent="0.2"/>
    <row r="34" x14ac:dyDescent="0.2"/>
  </sheetData>
  <mergeCells count="1">
    <mergeCell ref="A3:E3"/>
  </mergeCells>
  <conditionalFormatting sqref="I4">
    <cfRule type="cellIs" dxfId="13" priority="1" operator="notEqual">
      <formula>0</formula>
    </cfRule>
  </conditionalFormatting>
  <hyperlinks>
    <hyperlink ref="A3:E3" location="HL_Navigator" tooltip="Go to Navigator (Table of Contents)" display="Navigator" xr:uid="{5ABD154B-7A38-4320-9FE5-B898A53883D0}"/>
    <hyperlink ref="A3" location="HL_Navigator" display="Navigator" xr:uid="{17EBFA8C-3B8B-4817-A7B0-CC429D47485E}"/>
    <hyperlink ref="I4" location="Overall_Error_Check" tooltip="Go to Overall Error Check" display="Overall_Error_Check" xr:uid="{75561A0D-8D5E-417E-B5E9-4892258915C2}"/>
  </hyperlinks>
  <pageMargins left="0.7" right="0.7" top="0.75" bottom="0.75" header="0.3" footer="0.3"/>
  <ignoredErrors>
    <ignoredError sqref="O21" formula="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9FB06-0658-4A88-B592-6B9CC4CD2C6F}">
  <dimension ref="A1:U44"/>
  <sheetViews>
    <sheetView showGridLines="0" workbookViewId="0">
      <pane ySplit="4" topLeftCell="A5" activePane="bottomLeft" state="frozen"/>
      <selection pane="bottomLeft" activeCell="A5" sqref="A5"/>
    </sheetView>
  </sheetViews>
  <sheetFormatPr defaultColWidth="0" defaultRowHeight="12" zeroHeight="1" x14ac:dyDescent="0.2"/>
  <cols>
    <col min="1" max="1" width="3.7109375" customWidth="1"/>
    <col min="2" max="2" width="3.7109375" style="50" customWidth="1"/>
    <col min="3" max="4" width="3.7109375" customWidth="1"/>
    <col min="5" max="6" width="9" customWidth="1"/>
    <col min="7" max="7" width="23.42578125" bestFit="1" customWidth="1"/>
    <col min="8" max="8" width="12.7109375" customWidth="1"/>
    <col min="9" max="15" width="9" customWidth="1"/>
    <col min="16" max="21" width="0" hidden="1" customWidth="1"/>
    <col min="22" max="16384" width="9" hidden="1"/>
  </cols>
  <sheetData>
    <row r="1" spans="1:21" ht="20.25" x14ac:dyDescent="0.3">
      <c r="A1" s="14" t="str">
        <f ca="1">IF(ISERROR(RIGHT(CELL("filename",A1),LEN(CELL("filename",A1))-FIND("]",CELL("filename",A1)))),
"",
RIGHT(CELL("filename",A1),LEN(CELL("filename",A1))-FIND("]",CELL("filename",A1))))</f>
        <v>Care with Date</v>
      </c>
      <c r="C1" s="50"/>
      <c r="D1" s="50"/>
      <c r="E1" s="50"/>
      <c r="F1" s="50"/>
      <c r="G1" s="50"/>
      <c r="H1" s="50"/>
      <c r="I1" s="50"/>
      <c r="J1" s="50"/>
      <c r="K1" s="50"/>
      <c r="L1" s="50"/>
      <c r="M1" s="50"/>
      <c r="N1" s="50"/>
      <c r="O1" s="50"/>
      <c r="P1" s="50"/>
      <c r="Q1" s="50"/>
      <c r="R1" s="50"/>
      <c r="S1" s="50"/>
      <c r="T1" s="50"/>
      <c r="U1" s="50"/>
    </row>
    <row r="2" spans="1:21" ht="18" x14ac:dyDescent="0.25">
      <c r="A2" s="16" t="str">
        <f ca="1">Model_Name</f>
        <v>Chapter 7.5 - SP Internal Rate of Return Summary Examples.xlsx</v>
      </c>
      <c r="C2" s="50"/>
      <c r="D2" s="50"/>
      <c r="E2" s="50"/>
      <c r="F2" s="50"/>
      <c r="G2" s="50"/>
      <c r="H2" s="50"/>
      <c r="I2" s="50"/>
      <c r="J2" s="50"/>
      <c r="K2" s="50"/>
      <c r="L2" s="50"/>
      <c r="M2" s="50"/>
      <c r="N2" s="50"/>
      <c r="O2" s="50"/>
      <c r="P2" s="50"/>
      <c r="Q2" s="50"/>
      <c r="R2" s="50"/>
      <c r="S2" s="50"/>
      <c r="T2" s="50"/>
      <c r="U2" s="50"/>
    </row>
    <row r="3" spans="1:21" x14ac:dyDescent="0.2">
      <c r="A3" s="91" t="s">
        <v>1</v>
      </c>
      <c r="B3" s="91"/>
      <c r="C3" s="91"/>
      <c r="D3" s="91"/>
      <c r="E3" s="91"/>
      <c r="F3" s="50"/>
      <c r="G3" s="50"/>
      <c r="H3" s="50"/>
      <c r="I3" s="50"/>
      <c r="J3" s="50"/>
      <c r="K3" s="50"/>
      <c r="L3" s="50"/>
      <c r="M3" s="50"/>
      <c r="N3" s="50"/>
      <c r="O3" s="50"/>
      <c r="P3" s="50"/>
      <c r="Q3" s="50"/>
      <c r="R3" s="50"/>
      <c r="S3" s="50"/>
      <c r="T3" s="50"/>
      <c r="U3" s="50"/>
    </row>
    <row r="4" spans="1:21" ht="14.25" x14ac:dyDescent="0.2">
      <c r="A4" s="50"/>
      <c r="C4" s="50"/>
      <c r="D4" s="50"/>
      <c r="E4" s="50" t="s">
        <v>2</v>
      </c>
      <c r="F4" s="50"/>
      <c r="G4" s="50"/>
      <c r="H4" s="50"/>
      <c r="I4" s="1">
        <f>Overall_Error_Check</f>
        <v>0</v>
      </c>
      <c r="J4" s="50"/>
      <c r="K4" s="50"/>
      <c r="L4" s="50"/>
      <c r="M4" s="50"/>
      <c r="N4" s="50"/>
      <c r="O4" s="50"/>
      <c r="P4" s="50"/>
      <c r="Q4" s="50"/>
      <c r="R4" s="50"/>
      <c r="S4" s="50"/>
      <c r="T4" s="50"/>
      <c r="U4" s="50"/>
    </row>
    <row r="5" spans="1:21" x14ac:dyDescent="0.2">
      <c r="A5" s="49"/>
      <c r="C5" s="50"/>
      <c r="D5" s="50"/>
      <c r="E5" s="50"/>
      <c r="F5" s="50"/>
      <c r="G5" s="50"/>
      <c r="H5" s="50"/>
      <c r="I5" s="50"/>
      <c r="J5" s="50"/>
      <c r="K5" s="50"/>
      <c r="L5" s="50"/>
      <c r="M5" s="50"/>
      <c r="N5" s="50"/>
      <c r="O5" s="50"/>
      <c r="P5" s="50"/>
      <c r="Q5" s="50"/>
      <c r="R5" s="50"/>
      <c r="S5" s="50"/>
      <c r="T5" s="50"/>
      <c r="U5" s="50"/>
    </row>
    <row r="6" spans="1:21" ht="16.5" thickBot="1" x14ac:dyDescent="0.3">
      <c r="A6" s="50"/>
      <c r="B6" s="41">
        <f>MAX($B$5:$B5)+1</f>
        <v>1</v>
      </c>
      <c r="C6" s="2" t="str">
        <f ca="1">A1</f>
        <v>Care with Date</v>
      </c>
      <c r="D6" s="2"/>
      <c r="E6" s="2"/>
      <c r="F6" s="2"/>
      <c r="G6" s="2"/>
      <c r="H6" s="2"/>
      <c r="I6" s="2"/>
      <c r="J6" s="2"/>
      <c r="K6" s="2"/>
      <c r="L6" s="2"/>
      <c r="M6" s="2"/>
      <c r="N6" s="2"/>
      <c r="P6" s="53"/>
      <c r="Q6" s="53"/>
      <c r="R6" s="53"/>
      <c r="S6" s="53"/>
      <c r="T6" s="53"/>
      <c r="U6" s="53"/>
    </row>
    <row r="7" spans="1:21" s="50" customFormat="1" ht="12.75" thickTop="1" x14ac:dyDescent="0.2"/>
    <row r="8" spans="1:21" ht="16.5" x14ac:dyDescent="0.25">
      <c r="C8" s="3" t="s">
        <v>118</v>
      </c>
    </row>
    <row r="9" spans="1:21" x14ac:dyDescent="0.2"/>
    <row r="10" spans="1:21" ht="15" x14ac:dyDescent="0.25">
      <c r="D10" s="4" t="s">
        <v>69</v>
      </c>
    </row>
    <row r="11" spans="1:21" x14ac:dyDescent="0.2"/>
    <row r="12" spans="1:21" x14ac:dyDescent="0.2">
      <c r="G12" s="63" t="s">
        <v>62</v>
      </c>
      <c r="H12" s="63" t="s">
        <v>111</v>
      </c>
    </row>
    <row r="13" spans="1:21" x14ac:dyDescent="0.2">
      <c r="G13" s="83" t="s">
        <v>146</v>
      </c>
      <c r="H13" s="60">
        <v>-3000</v>
      </c>
    </row>
    <row r="14" spans="1:21" x14ac:dyDescent="0.2">
      <c r="G14" s="84" t="s">
        <v>119</v>
      </c>
      <c r="H14" s="60" t="s">
        <v>112</v>
      </c>
    </row>
    <row r="15" spans="1:21" x14ac:dyDescent="0.2">
      <c r="G15" s="84" t="s">
        <v>120</v>
      </c>
      <c r="H15" s="60">
        <v>500</v>
      </c>
    </row>
    <row r="16" spans="1:21" x14ac:dyDescent="0.2">
      <c r="G16" s="84" t="s">
        <v>121</v>
      </c>
      <c r="H16" s="60">
        <v>2000</v>
      </c>
    </row>
    <row r="17" spans="4:8" x14ac:dyDescent="0.2"/>
    <row r="18" spans="4:8" x14ac:dyDescent="0.2">
      <c r="G18" t="s">
        <v>100</v>
      </c>
      <c r="H18" t="e">
        <f>XIRR(H13:H16,G13:G16)</f>
        <v>#VALUE!</v>
      </c>
    </row>
    <row r="19" spans="4:8" x14ac:dyDescent="0.2"/>
    <row r="20" spans="4:8" x14ac:dyDescent="0.2"/>
    <row r="21" spans="4:8" ht="15" x14ac:dyDescent="0.25">
      <c r="D21" s="4" t="s">
        <v>113</v>
      </c>
    </row>
    <row r="22" spans="4:8" x14ac:dyDescent="0.2"/>
    <row r="23" spans="4:8" x14ac:dyDescent="0.2">
      <c r="E23" s="63" t="s">
        <v>68</v>
      </c>
    </row>
    <row r="24" spans="4:8" x14ac:dyDescent="0.2"/>
    <row r="25" spans="4:8" x14ac:dyDescent="0.2">
      <c r="G25" t="s">
        <v>114</v>
      </c>
      <c r="H25">
        <v>4</v>
      </c>
    </row>
    <row r="26" spans="4:8" x14ac:dyDescent="0.2"/>
    <row r="27" spans="4:8" x14ac:dyDescent="0.2">
      <c r="E27" s="63" t="s">
        <v>115</v>
      </c>
    </row>
    <row r="28" spans="4:8" x14ac:dyDescent="0.2"/>
    <row r="29" spans="4:8" x14ac:dyDescent="0.2">
      <c r="G29" t="s">
        <v>116</v>
      </c>
      <c r="H29" s="82">
        <f>DATEVALUE(G13)</f>
        <v>43527</v>
      </c>
    </row>
    <row r="30" spans="4:8" x14ac:dyDescent="0.2"/>
    <row r="31" spans="4:8" x14ac:dyDescent="0.2">
      <c r="E31" s="63" t="s">
        <v>117</v>
      </c>
    </row>
    <row r="32" spans="4:8" x14ac:dyDescent="0.2"/>
    <row r="33" spans="7:8" x14ac:dyDescent="0.2">
      <c r="G33" s="63" t="s">
        <v>62</v>
      </c>
      <c r="H33" s="63" t="s">
        <v>111</v>
      </c>
    </row>
    <row r="34" spans="7:8" x14ac:dyDescent="0.2">
      <c r="G34" s="65">
        <f>DATE(RIGHT(G13,Number_of_characters_in_year),LEFT(G13,FIND("/",G13)-1),MID(G13,FIND("/",G13)+1,LEN(G13)-FIND("/",G13)-(Number_of_characters_in_year+1)))</f>
        <v>43527</v>
      </c>
      <c r="H34" s="60">
        <v>-3000</v>
      </c>
    </row>
    <row r="35" spans="7:8" x14ac:dyDescent="0.2">
      <c r="G35" s="65">
        <f>DATE(RIGHT(G14,Number_of_characters_in_year),LEFT(G14,FIND("/",G14)-1),MID(G14,FIND("/",G14)+1,LEN(G14)-FIND("/",G14)-(Number_of_characters_in_year+1)))</f>
        <v>43646</v>
      </c>
      <c r="H35" s="60" t="s">
        <v>112</v>
      </c>
    </row>
    <row r="36" spans="7:8" x14ac:dyDescent="0.2">
      <c r="G36" s="65">
        <f>DATE(RIGHT(G15,Number_of_characters_in_year),LEFT(G15,FIND("/",G15)-1),MID(G15,FIND("/",G15)+1,LEN(G15)-FIND("/",G15)-(Number_of_characters_in_year+1)))</f>
        <v>43738</v>
      </c>
      <c r="H36" s="60">
        <v>500</v>
      </c>
    </row>
    <row r="37" spans="7:8" x14ac:dyDescent="0.2">
      <c r="G37" s="65">
        <f>DATE(RIGHT(G16,Number_of_characters_in_year),LEFT(G16,FIND("/",G16)-1),MID(G16,FIND("/",G16)+1,LEN(G16)-FIND("/",G16)-(Number_of_characters_in_year+1)))</f>
        <v>43830</v>
      </c>
      <c r="H37" s="60">
        <v>2000</v>
      </c>
    </row>
    <row r="38" spans="7:8" x14ac:dyDescent="0.2"/>
    <row r="39" spans="7:8" x14ac:dyDescent="0.2">
      <c r="G39" t="s">
        <v>100</v>
      </c>
      <c r="H39" s="55">
        <f>XIRR(H34:H37,G34:G37)</f>
        <v>0.27037387490272535</v>
      </c>
    </row>
    <row r="40" spans="7:8" x14ac:dyDescent="0.2"/>
    <row r="41" spans="7:8" x14ac:dyDescent="0.2"/>
    <row r="42" spans="7:8" x14ac:dyDescent="0.2"/>
    <row r="43" spans="7:8" x14ac:dyDescent="0.2"/>
    <row r="44" spans="7:8" x14ac:dyDescent="0.2"/>
  </sheetData>
  <mergeCells count="1">
    <mergeCell ref="A3:E3"/>
  </mergeCells>
  <conditionalFormatting sqref="I4">
    <cfRule type="cellIs" dxfId="12" priority="1" operator="notEqual">
      <formula>0</formula>
    </cfRule>
  </conditionalFormatting>
  <hyperlinks>
    <hyperlink ref="A3:E3" location="HL_Navigator" tooltip="Go to Navigator (Table of Contents)" display="Navigator" xr:uid="{B49664A7-E5D4-4F0E-9AEA-965BA08E04FB}"/>
    <hyperlink ref="A3" location="HL_Navigator" display="Navigator" xr:uid="{8CB1FB62-0966-4435-AFEB-0A1835B008A0}"/>
    <hyperlink ref="I4" location="Overall_Error_Check" tooltip="Go to Overall Error Check" display="Overall_Error_Check" xr:uid="{398A8C00-5A6C-4EB9-A0D5-F6F5EC11AD18}"/>
  </hyperlinks>
  <pageMargins left="0.7" right="0.7" top="0.75" bottom="0.75" header="0.3" footer="0.3"/>
  <ignoredErrors>
    <ignoredError sqref="H14 H35" numberStoredAsText="1"/>
    <ignoredError sqref="H18" evalError="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8D679-1132-40DB-BF09-F4C83A01DEAC}">
  <dimension ref="A1:X179"/>
  <sheetViews>
    <sheetView showGridLines="0" workbookViewId="0">
      <pane ySplit="4" topLeftCell="A5" activePane="bottomLeft" state="frozen"/>
      <selection pane="bottomLeft" activeCell="A5" sqref="A5"/>
    </sheetView>
  </sheetViews>
  <sheetFormatPr defaultColWidth="0" defaultRowHeight="12" zeroHeight="1" x14ac:dyDescent="0.2"/>
  <cols>
    <col min="1" max="1" width="3.7109375" customWidth="1"/>
    <col min="2" max="2" width="3.7109375" style="50" customWidth="1"/>
    <col min="3" max="4" width="3.7109375" customWidth="1"/>
    <col min="5" max="6" width="9" customWidth="1"/>
    <col min="7" max="7" width="19.28515625" customWidth="1"/>
    <col min="8" max="8" width="12.28515625" bestFit="1" customWidth="1"/>
    <col min="9" max="24" width="9" customWidth="1"/>
    <col min="25" max="16384" width="9" hidden="1"/>
  </cols>
  <sheetData>
    <row r="1" spans="1:23" ht="20.25" x14ac:dyDescent="0.3">
      <c r="A1" s="14" t="str">
        <f ca="1">IF(ISERROR(RIGHT(CELL("filename",A1),LEN(CELL("filename",A1))-FIND("]",CELL("filename",A1)))),
"",
RIGHT(CELL("filename",A1),LEN(CELL("filename",A1))-FIND("]",CELL("filename",A1))))</f>
        <v>Value Not Right</v>
      </c>
      <c r="C1" s="50"/>
      <c r="D1" s="50"/>
      <c r="E1" s="50"/>
      <c r="F1" s="50"/>
      <c r="G1" s="50"/>
      <c r="H1" s="50"/>
      <c r="I1" s="50"/>
      <c r="J1" s="50"/>
      <c r="K1" s="50"/>
      <c r="L1" s="50"/>
      <c r="M1" s="50"/>
      <c r="N1" s="50"/>
      <c r="O1" s="50"/>
      <c r="P1" s="50"/>
      <c r="Q1" s="50"/>
      <c r="R1" s="50"/>
      <c r="S1" s="50"/>
      <c r="T1" s="50"/>
      <c r="U1" s="50"/>
    </row>
    <row r="2" spans="1:23" ht="18" x14ac:dyDescent="0.25">
      <c r="A2" s="16" t="str">
        <f ca="1">Model_Name</f>
        <v>Chapter 7.5 - SP Internal Rate of Return Summary Examples.xlsx</v>
      </c>
      <c r="C2" s="50"/>
      <c r="D2" s="50"/>
      <c r="E2" s="50"/>
      <c r="F2" s="50"/>
      <c r="G2" s="50"/>
      <c r="H2" s="50"/>
      <c r="I2" s="50"/>
      <c r="J2" s="50"/>
      <c r="K2" s="50"/>
      <c r="L2" s="50"/>
      <c r="M2" s="50"/>
      <c r="N2" s="50"/>
      <c r="O2" s="50"/>
      <c r="P2" s="50"/>
      <c r="Q2" s="50"/>
      <c r="R2" s="50"/>
      <c r="S2" s="50"/>
      <c r="T2" s="50"/>
      <c r="U2" s="50"/>
    </row>
    <row r="3" spans="1:23" x14ac:dyDescent="0.2">
      <c r="A3" s="91" t="s">
        <v>1</v>
      </c>
      <c r="B3" s="91"/>
      <c r="C3" s="91"/>
      <c r="D3" s="91"/>
      <c r="E3" s="91"/>
      <c r="F3" s="50"/>
      <c r="G3" s="50"/>
      <c r="H3" s="50"/>
      <c r="I3" s="50"/>
      <c r="J3" s="50"/>
      <c r="K3" s="50"/>
      <c r="L3" s="50"/>
      <c r="M3" s="50"/>
      <c r="N3" s="50"/>
      <c r="O3" s="50"/>
      <c r="P3" s="50"/>
      <c r="Q3" s="50"/>
      <c r="R3" s="50"/>
      <c r="S3" s="50"/>
      <c r="T3" s="50"/>
      <c r="U3" s="50"/>
    </row>
    <row r="4" spans="1:23" ht="14.25" x14ac:dyDescent="0.2">
      <c r="A4" s="50"/>
      <c r="C4" s="50"/>
      <c r="D4" s="50"/>
      <c r="E4" s="50" t="s">
        <v>2</v>
      </c>
      <c r="F4" s="50"/>
      <c r="G4" s="50"/>
      <c r="H4" s="50"/>
      <c r="I4" s="1">
        <f>Overall_Error_Check</f>
        <v>0</v>
      </c>
      <c r="J4" s="50"/>
      <c r="K4" s="50"/>
      <c r="L4" s="50"/>
      <c r="M4" s="50"/>
      <c r="N4" s="50"/>
      <c r="O4" s="50"/>
      <c r="P4" s="50"/>
      <c r="Q4" s="50"/>
      <c r="R4" s="50"/>
      <c r="S4" s="50"/>
      <c r="T4" s="50"/>
      <c r="U4" s="50"/>
    </row>
    <row r="5" spans="1:23" x14ac:dyDescent="0.2">
      <c r="A5" s="49"/>
      <c r="C5" s="50"/>
      <c r="D5" s="50"/>
      <c r="E5" s="50"/>
      <c r="F5" s="50"/>
      <c r="G5" s="50"/>
      <c r="H5" s="50"/>
      <c r="I5" s="50"/>
      <c r="J5" s="50"/>
      <c r="K5" s="50"/>
      <c r="L5" s="50"/>
      <c r="M5" s="50"/>
      <c r="N5" s="50"/>
      <c r="O5" s="50"/>
      <c r="P5" s="50"/>
      <c r="Q5" s="50"/>
      <c r="R5" s="50"/>
      <c r="S5" s="50"/>
      <c r="T5" s="50"/>
      <c r="U5" s="50"/>
    </row>
    <row r="6" spans="1:23" ht="16.5" thickBot="1" x14ac:dyDescent="0.3">
      <c r="A6" s="50"/>
      <c r="B6" s="41">
        <f>MAX($B$5:$B5)+1</f>
        <v>1</v>
      </c>
      <c r="C6" s="2" t="str">
        <f ca="1">A1</f>
        <v>Value Not Right</v>
      </c>
      <c r="D6" s="2"/>
      <c r="E6" s="2"/>
      <c r="F6" s="2"/>
      <c r="G6" s="2"/>
      <c r="H6" s="2"/>
      <c r="I6" s="2"/>
      <c r="J6" s="2"/>
      <c r="K6" s="2"/>
      <c r="L6" s="2"/>
      <c r="M6" s="2"/>
      <c r="N6" s="2"/>
      <c r="O6" s="2"/>
      <c r="P6" s="2"/>
      <c r="Q6" s="2"/>
      <c r="R6" s="2"/>
      <c r="S6" s="2"/>
      <c r="T6" s="2"/>
      <c r="U6" s="2"/>
      <c r="V6" s="2"/>
      <c r="W6" s="2"/>
    </row>
    <row r="7" spans="1:23" s="50" customFormat="1" ht="12.75" thickTop="1" x14ac:dyDescent="0.2"/>
    <row r="8" spans="1:23" ht="16.5" x14ac:dyDescent="0.25">
      <c r="C8" s="3" t="s">
        <v>125</v>
      </c>
    </row>
    <row r="9" spans="1:23" x14ac:dyDescent="0.2"/>
    <row r="10" spans="1:23" ht="15" x14ac:dyDescent="0.25">
      <c r="D10" s="4" t="s">
        <v>69</v>
      </c>
    </row>
    <row r="11" spans="1:23" x14ac:dyDescent="0.2"/>
    <row r="12" spans="1:23" x14ac:dyDescent="0.2">
      <c r="G12" t="s">
        <v>9</v>
      </c>
      <c r="H12">
        <v>365</v>
      </c>
    </row>
    <row r="13" spans="1:23" x14ac:dyDescent="0.2"/>
    <row r="14" spans="1:23" x14ac:dyDescent="0.2">
      <c r="G14" s="63" t="s">
        <v>104</v>
      </c>
      <c r="H14" s="63"/>
    </row>
    <row r="15" spans="1:23" x14ac:dyDescent="0.2">
      <c r="G15" s="83">
        <v>44197</v>
      </c>
      <c r="H15" s="60">
        <v>5000</v>
      </c>
    </row>
    <row r="16" spans="1:23" x14ac:dyDescent="0.2">
      <c r="G16" s="83">
        <f>G15+$H$12</f>
        <v>44562</v>
      </c>
      <c r="H16" s="60">
        <v>-55000</v>
      </c>
    </row>
    <row r="17" spans="4:8" x14ac:dyDescent="0.2">
      <c r="G17" s="83">
        <f>G16+$H$12</f>
        <v>44927</v>
      </c>
      <c r="H17" s="60">
        <v>10000</v>
      </c>
    </row>
    <row r="18" spans="4:8" x14ac:dyDescent="0.2">
      <c r="G18" s="83">
        <f>G17+$H$12</f>
        <v>45292</v>
      </c>
      <c r="H18" s="60">
        <v>60000</v>
      </c>
    </row>
    <row r="19" spans="4:8" x14ac:dyDescent="0.2"/>
    <row r="20" spans="4:8" x14ac:dyDescent="0.2">
      <c r="G20" t="s">
        <v>100</v>
      </c>
      <c r="H20">
        <f>XIRR(H15:H18,G15:G18)</f>
        <v>2.9802322387695314E-9</v>
      </c>
    </row>
    <row r="21" spans="4:8" x14ac:dyDescent="0.2">
      <c r="G21" t="str">
        <f>"XNPV using "&amp;G20</f>
        <v>XNPV using XIRR</v>
      </c>
      <c r="H21" s="61">
        <f>XNPV(H20,H15:H18,G15:G18)</f>
        <v>19999.999567866325</v>
      </c>
    </row>
    <row r="22" spans="4:8" x14ac:dyDescent="0.2"/>
    <row r="23" spans="4:8" x14ac:dyDescent="0.2">
      <c r="G23" t="s">
        <v>98</v>
      </c>
      <c r="H23" s="55">
        <f>IRR(H15:H18)</f>
        <v>0.21426775375350626</v>
      </c>
    </row>
    <row r="24" spans="4:8" x14ac:dyDescent="0.2">
      <c r="G24" t="str">
        <f>"XNPV using "&amp;G23</f>
        <v>XNPV using IRR</v>
      </c>
      <c r="H24" s="61">
        <f>XNPV(H23,H15:H18,G15:G18)</f>
        <v>0</v>
      </c>
    </row>
    <row r="25" spans="4:8" x14ac:dyDescent="0.2"/>
    <row r="26" spans="4:8" x14ac:dyDescent="0.2"/>
    <row r="27" spans="4:8" ht="15" x14ac:dyDescent="0.25">
      <c r="D27" s="4" t="s">
        <v>122</v>
      </c>
    </row>
    <row r="28" spans="4:8" x14ac:dyDescent="0.2"/>
    <row r="29" spans="4:8" x14ac:dyDescent="0.2">
      <c r="G29" s="63" t="str">
        <f>G14</f>
        <v>Dates</v>
      </c>
    </row>
    <row r="30" spans="4:8" x14ac:dyDescent="0.2">
      <c r="G30" s="83">
        <f t="shared" ref="G30:H33" si="0">G15</f>
        <v>44197</v>
      </c>
      <c r="H30" s="61">
        <f t="shared" si="0"/>
        <v>5000</v>
      </c>
    </row>
    <row r="31" spans="4:8" x14ac:dyDescent="0.2">
      <c r="G31" s="83">
        <f t="shared" si="0"/>
        <v>44562</v>
      </c>
      <c r="H31" s="61">
        <f t="shared" si="0"/>
        <v>-55000</v>
      </c>
    </row>
    <row r="32" spans="4:8" x14ac:dyDescent="0.2">
      <c r="G32" s="83">
        <f t="shared" si="0"/>
        <v>44927</v>
      </c>
      <c r="H32" s="61">
        <f t="shared" si="0"/>
        <v>10000</v>
      </c>
    </row>
    <row r="33" spans="4:8" x14ac:dyDescent="0.2">
      <c r="G33" s="83">
        <f t="shared" si="0"/>
        <v>45292</v>
      </c>
      <c r="H33" s="61">
        <f t="shared" si="0"/>
        <v>60000</v>
      </c>
    </row>
    <row r="34" spans="4:8" x14ac:dyDescent="0.2"/>
    <row r="35" spans="4:8" x14ac:dyDescent="0.2">
      <c r="G35" t="s">
        <v>100</v>
      </c>
      <c r="H35" s="53">
        <f>XIRR(H30:H33,G30:G33,H38)</f>
        <v>3.192838337324653E-9</v>
      </c>
    </row>
    <row r="36" spans="4:8" x14ac:dyDescent="0.2">
      <c r="G36" t="str">
        <f>"XNPV using "&amp;G35</f>
        <v>XNPV using XIRR</v>
      </c>
      <c r="H36" s="61">
        <f>XNPV(H35,H30:H33,G30:G33)</f>
        <v>19999.999537038428</v>
      </c>
    </row>
    <row r="37" spans="4:8" x14ac:dyDescent="0.2">
      <c r="H37" s="53"/>
    </row>
    <row r="38" spans="4:8" x14ac:dyDescent="0.2">
      <c r="G38" t="s">
        <v>98</v>
      </c>
      <c r="H38" s="55">
        <f>IRR(H30:H33)</f>
        <v>0.21426775375350626</v>
      </c>
    </row>
    <row r="39" spans="4:8" x14ac:dyDescent="0.2">
      <c r="G39" t="str">
        <f>"XNPV using "&amp;G38</f>
        <v>XNPV using IRR</v>
      </c>
      <c r="H39" s="61">
        <f>XNPV(H38,H30:H33,G30:G33)</f>
        <v>0</v>
      </c>
    </row>
    <row r="40" spans="4:8" x14ac:dyDescent="0.2"/>
    <row r="41" spans="4:8" x14ac:dyDescent="0.2"/>
    <row r="42" spans="4:8" ht="15" x14ac:dyDescent="0.25">
      <c r="D42" s="4" t="s">
        <v>123</v>
      </c>
    </row>
    <row r="43" spans="4:8" x14ac:dyDescent="0.2"/>
    <row r="44" spans="4:8" x14ac:dyDescent="0.2">
      <c r="G44" s="63" t="str">
        <f>G29</f>
        <v>Dates</v>
      </c>
      <c r="H44" s="53"/>
    </row>
    <row r="45" spans="4:8" x14ac:dyDescent="0.2">
      <c r="G45" s="83">
        <f>G30</f>
        <v>44197</v>
      </c>
      <c r="H45" s="61">
        <f>H30</f>
        <v>5000</v>
      </c>
    </row>
    <row r="46" spans="4:8" x14ac:dyDescent="0.2">
      <c r="G46" s="83">
        <f>G31</f>
        <v>44562</v>
      </c>
      <c r="H46" s="61">
        <f>H31</f>
        <v>-55000</v>
      </c>
    </row>
    <row r="47" spans="4:8" x14ac:dyDescent="0.2">
      <c r="G47" s="83">
        <f>G32</f>
        <v>44927</v>
      </c>
      <c r="H47" s="61">
        <f>H32</f>
        <v>10000</v>
      </c>
    </row>
    <row r="48" spans="4:8" x14ac:dyDescent="0.2">
      <c r="G48" s="83">
        <f>G33</f>
        <v>45292</v>
      </c>
      <c r="H48" s="61">
        <f>H33</f>
        <v>60000</v>
      </c>
    </row>
    <row r="49" spans="4:8" x14ac:dyDescent="0.2">
      <c r="G49" s="53"/>
      <c r="H49" s="53"/>
    </row>
    <row r="50" spans="4:8" x14ac:dyDescent="0.2">
      <c r="G50" s="53" t="s">
        <v>100</v>
      </c>
      <c r="H50" s="53">
        <f>XIRR(H45:H48,G45:G48,0.214267753753497)</f>
        <v>3.1928383373245149E-9</v>
      </c>
    </row>
    <row r="51" spans="4:8" x14ac:dyDescent="0.2">
      <c r="G51" s="53" t="str">
        <f>"XNPV using "&amp;G50</f>
        <v>XNPV using XIRR</v>
      </c>
      <c r="H51" s="61">
        <f>XNPV(H50,H45:H48,G45:G48)</f>
        <v>19999.999537038428</v>
      </c>
    </row>
    <row r="52" spans="4:8" x14ac:dyDescent="0.2">
      <c r="G52" s="53"/>
      <c r="H52" s="53"/>
    </row>
    <row r="53" spans="4:8" x14ac:dyDescent="0.2">
      <c r="G53" s="53" t="s">
        <v>98</v>
      </c>
      <c r="H53" s="55">
        <f>IRR(H45:H48)</f>
        <v>0.21426775375350626</v>
      </c>
    </row>
    <row r="54" spans="4:8" x14ac:dyDescent="0.2">
      <c r="G54" s="53" t="str">
        <f>"XNPV using "&amp;G53</f>
        <v>XNPV using IRR</v>
      </c>
      <c r="H54" s="61">
        <f>XNPV(H53,H45:H48,G45:G48)</f>
        <v>0</v>
      </c>
    </row>
    <row r="55" spans="4:8" x14ac:dyDescent="0.2"/>
    <row r="56" spans="4:8" x14ac:dyDescent="0.2"/>
    <row r="57" spans="4:8" ht="15" x14ac:dyDescent="0.25">
      <c r="D57" s="4" t="s">
        <v>124</v>
      </c>
    </row>
    <row r="58" spans="4:8" x14ac:dyDescent="0.2"/>
    <row r="59" spans="4:8" x14ac:dyDescent="0.2">
      <c r="G59" s="63" t="str">
        <f>G44</f>
        <v>Dates</v>
      </c>
    </row>
    <row r="60" spans="4:8" x14ac:dyDescent="0.2">
      <c r="G60" s="65">
        <f>G45</f>
        <v>44197</v>
      </c>
      <c r="H60" s="61">
        <f>H45</f>
        <v>5000</v>
      </c>
    </row>
    <row r="61" spans="4:8" x14ac:dyDescent="0.2">
      <c r="G61" s="65">
        <f>G46</f>
        <v>44562</v>
      </c>
      <c r="H61" s="61">
        <f>H46</f>
        <v>-55000</v>
      </c>
    </row>
    <row r="62" spans="4:8" x14ac:dyDescent="0.2">
      <c r="G62" s="65">
        <f>G47</f>
        <v>44927</v>
      </c>
      <c r="H62" s="61">
        <f>H47</f>
        <v>10000</v>
      </c>
    </row>
    <row r="63" spans="4:8" x14ac:dyDescent="0.2">
      <c r="G63" s="65">
        <f>G48</f>
        <v>45292</v>
      </c>
      <c r="H63" s="61">
        <f>H48</f>
        <v>60000</v>
      </c>
    </row>
    <row r="64" spans="4:8" x14ac:dyDescent="0.2"/>
    <row r="65" spans="3:8" x14ac:dyDescent="0.2">
      <c r="G65" t="s">
        <v>100</v>
      </c>
      <c r="H65" s="55">
        <f>XIRR(H60:H63,G60:G63,0.2143)</f>
        <v>9.7085894946336726</v>
      </c>
    </row>
    <row r="66" spans="3:8" x14ac:dyDescent="0.2">
      <c r="G66" t="str">
        <f>"XNPV using "&amp;G65</f>
        <v>XNPV using XIRR</v>
      </c>
      <c r="H66" s="61">
        <f>XNPV(H65,H60:H63,G60:G63)</f>
        <v>1.2433991102511754E-5</v>
      </c>
    </row>
    <row r="67" spans="3:8" x14ac:dyDescent="0.2"/>
    <row r="68" spans="3:8" x14ac:dyDescent="0.2">
      <c r="G68" t="s">
        <v>98</v>
      </c>
      <c r="H68" s="55">
        <f>IRR(H60:H63)</f>
        <v>0.21426775375350626</v>
      </c>
    </row>
    <row r="69" spans="3:8" x14ac:dyDescent="0.2">
      <c r="G69" t="str">
        <f>"XNPV using "&amp;G68</f>
        <v>XNPV using IRR</v>
      </c>
      <c r="H69" s="61">
        <f>XNPV(H68,H60:H63,G60:G63)</f>
        <v>0</v>
      </c>
    </row>
    <row r="70" spans="3:8" x14ac:dyDescent="0.2"/>
    <row r="71" spans="3:8" ht="16.5" x14ac:dyDescent="0.25">
      <c r="C71" s="3" t="s">
        <v>147</v>
      </c>
    </row>
    <row r="72" spans="3:8" x14ac:dyDescent="0.2"/>
    <row r="73" spans="3:8" x14ac:dyDescent="0.2">
      <c r="F73" s="64" t="s">
        <v>148</v>
      </c>
      <c r="G73" s="64" t="s">
        <v>136</v>
      </c>
    </row>
    <row r="74" spans="3:8" x14ac:dyDescent="0.2">
      <c r="F74" s="55">
        <v>0</v>
      </c>
      <c r="G74" s="85">
        <f>SUM($H$15:$H$18)</f>
        <v>20000</v>
      </c>
    </row>
    <row r="75" spans="3:8" x14ac:dyDescent="0.2">
      <c r="F75" s="55">
        <f>N(F74)+0.1</f>
        <v>0.1</v>
      </c>
      <c r="G75" s="85">
        <f>XNPV($F75,$H$15:$H$18,$G$15:$G$18)</f>
        <v>8343.3508640120053</v>
      </c>
    </row>
    <row r="76" spans="3:8" x14ac:dyDescent="0.2">
      <c r="F76" s="55">
        <f>N(F75)+0.1</f>
        <v>0.2</v>
      </c>
      <c r="G76" s="85">
        <f t="shared" ref="G76:G139" si="1">XNPV($F76,$H$15:$H$18,$G$15:$G$18)</f>
        <v>833.33333333332848</v>
      </c>
    </row>
    <row r="77" spans="3:8" x14ac:dyDescent="0.2">
      <c r="F77" s="55">
        <f t="shared" ref="F77:F128" si="2">N(F76)+0.1</f>
        <v>0.30000000000000004</v>
      </c>
      <c r="G77" s="85">
        <f t="shared" si="1"/>
        <v>-4080.5644060081977</v>
      </c>
    </row>
    <row r="78" spans="3:8" x14ac:dyDescent="0.2">
      <c r="F78" s="55">
        <f t="shared" si="2"/>
        <v>0.4</v>
      </c>
      <c r="G78" s="85">
        <f t="shared" si="1"/>
        <v>-7317.7842565597639</v>
      </c>
    </row>
    <row r="79" spans="3:8" x14ac:dyDescent="0.2">
      <c r="F79" s="55">
        <f t="shared" si="2"/>
        <v>0.5</v>
      </c>
      <c r="G79" s="85">
        <f t="shared" si="1"/>
        <v>-9444.4444444444416</v>
      </c>
    </row>
    <row r="80" spans="3:8" x14ac:dyDescent="0.2">
      <c r="F80" s="55">
        <f t="shared" si="2"/>
        <v>0.6</v>
      </c>
      <c r="G80" s="85">
        <f t="shared" si="1"/>
        <v>-10820.312500000004</v>
      </c>
    </row>
    <row r="81" spans="6:7" x14ac:dyDescent="0.2">
      <c r="F81" s="55">
        <f t="shared" si="2"/>
        <v>0.7</v>
      </c>
      <c r="G81" s="85">
        <f t="shared" si="1"/>
        <v>-11680.236108284142</v>
      </c>
    </row>
    <row r="82" spans="6:7" x14ac:dyDescent="0.2">
      <c r="F82" s="55">
        <f t="shared" si="2"/>
        <v>0.79999999999999993</v>
      </c>
      <c r="G82" s="85">
        <f t="shared" si="1"/>
        <v>-12181.069958847733</v>
      </c>
    </row>
    <row r="83" spans="6:7" x14ac:dyDescent="0.2">
      <c r="F83" s="55">
        <f t="shared" si="2"/>
        <v>0.89999999999999991</v>
      </c>
      <c r="G83" s="85">
        <f t="shared" si="1"/>
        <v>-12429.654468581428</v>
      </c>
    </row>
    <row r="84" spans="6:7" x14ac:dyDescent="0.2">
      <c r="F84" s="55">
        <f t="shared" si="2"/>
        <v>0.99999999999999989</v>
      </c>
      <c r="G84" s="85">
        <f t="shared" si="1"/>
        <v>-12500</v>
      </c>
    </row>
    <row r="85" spans="6:7" x14ac:dyDescent="0.2">
      <c r="F85" s="55">
        <f t="shared" si="2"/>
        <v>1.0999999999999999</v>
      </c>
      <c r="G85" s="85">
        <f t="shared" si="1"/>
        <v>-12444.120505344996</v>
      </c>
    </row>
    <row r="86" spans="6:7" x14ac:dyDescent="0.2">
      <c r="F86" s="55">
        <f t="shared" si="2"/>
        <v>1.2</v>
      </c>
      <c r="G86" s="85">
        <f t="shared" si="1"/>
        <v>-12299.023290758825</v>
      </c>
    </row>
    <row r="87" spans="6:7" x14ac:dyDescent="0.2">
      <c r="F87" s="55">
        <f t="shared" si="2"/>
        <v>1.3</v>
      </c>
      <c r="G87" s="85">
        <f t="shared" si="1"/>
        <v>-12091.312566778994</v>
      </c>
    </row>
    <row r="88" spans="6:7" x14ac:dyDescent="0.2">
      <c r="F88" s="55">
        <f t="shared" si="2"/>
        <v>1.4000000000000001</v>
      </c>
      <c r="G88" s="85">
        <f t="shared" si="1"/>
        <v>-11840.277777777777</v>
      </c>
    </row>
    <row r="89" spans="6:7" x14ac:dyDescent="0.2">
      <c r="F89" s="55">
        <f t="shared" si="2"/>
        <v>1.5000000000000002</v>
      </c>
      <c r="G89" s="85">
        <f t="shared" si="1"/>
        <v>-11560</v>
      </c>
    </row>
    <row r="90" spans="6:7" x14ac:dyDescent="0.2">
      <c r="F90" s="55">
        <f t="shared" si="2"/>
        <v>1.6000000000000003</v>
      </c>
      <c r="G90" s="85">
        <f t="shared" si="1"/>
        <v>-11260.810195721437</v>
      </c>
    </row>
    <row r="91" spans="6:7" x14ac:dyDescent="0.2">
      <c r="F91" s="55">
        <f t="shared" si="2"/>
        <v>1.7000000000000004</v>
      </c>
      <c r="G91" s="85">
        <f t="shared" si="1"/>
        <v>-10950.312452370064</v>
      </c>
    </row>
    <row r="92" spans="6:7" x14ac:dyDescent="0.2">
      <c r="F92" s="55">
        <f t="shared" si="2"/>
        <v>1.8000000000000005</v>
      </c>
      <c r="G92" s="85">
        <f t="shared" si="1"/>
        <v>-10634.110787172011</v>
      </c>
    </row>
    <row r="93" spans="6:7" x14ac:dyDescent="0.2">
      <c r="F93" s="55">
        <f t="shared" si="2"/>
        <v>1.9000000000000006</v>
      </c>
      <c r="G93" s="85">
        <f t="shared" si="1"/>
        <v>-10316.331132887775</v>
      </c>
    </row>
    <row r="94" spans="6:7" x14ac:dyDescent="0.2">
      <c r="F94" s="55">
        <f t="shared" si="2"/>
        <v>2.0000000000000004</v>
      </c>
      <c r="G94" s="85">
        <f t="shared" si="1"/>
        <v>-10000</v>
      </c>
    </row>
    <row r="95" spans="6:7" x14ac:dyDescent="0.2">
      <c r="F95" s="55">
        <f t="shared" si="2"/>
        <v>2.1000000000000005</v>
      </c>
      <c r="G95" s="85">
        <f t="shared" si="1"/>
        <v>-9687.321674331175</v>
      </c>
    </row>
    <row r="96" spans="6:7" x14ac:dyDescent="0.2">
      <c r="F96" s="55">
        <f t="shared" si="2"/>
        <v>2.2000000000000006</v>
      </c>
      <c r="G96" s="85">
        <f t="shared" si="1"/>
        <v>-9379.8828124999964</v>
      </c>
    </row>
    <row r="97" spans="6:7" x14ac:dyDescent="0.2">
      <c r="F97" s="55">
        <f t="shared" si="2"/>
        <v>2.3000000000000007</v>
      </c>
      <c r="G97" s="85">
        <f t="shared" si="1"/>
        <v>-9078.8045746723419</v>
      </c>
    </row>
    <row r="98" spans="6:7" x14ac:dyDescent="0.2">
      <c r="F98" s="55">
        <f t="shared" si="2"/>
        <v>2.4000000000000008</v>
      </c>
      <c r="G98" s="85">
        <f t="shared" si="1"/>
        <v>-8784.8565031548933</v>
      </c>
    </row>
    <row r="99" spans="6:7" x14ac:dyDescent="0.2">
      <c r="F99" s="55">
        <f t="shared" si="2"/>
        <v>2.5000000000000009</v>
      </c>
      <c r="G99" s="85">
        <f t="shared" si="1"/>
        <v>-8498.5422740524755</v>
      </c>
    </row>
    <row r="100" spans="6:7" x14ac:dyDescent="0.2">
      <c r="F100" s="55">
        <f t="shared" si="2"/>
        <v>2.600000000000001</v>
      </c>
      <c r="G100" s="85">
        <f t="shared" si="1"/>
        <v>-8220.164609053496</v>
      </c>
    </row>
    <row r="101" spans="6:7" x14ac:dyDescent="0.2">
      <c r="F101" s="55">
        <f t="shared" si="2"/>
        <v>2.7000000000000011</v>
      </c>
      <c r="G101" s="85">
        <f t="shared" si="1"/>
        <v>-7949.8746372376736</v>
      </c>
    </row>
    <row r="102" spans="6:7" x14ac:dyDescent="0.2">
      <c r="F102" s="55">
        <f t="shared" si="2"/>
        <v>2.8000000000000012</v>
      </c>
      <c r="G102" s="85">
        <f t="shared" si="1"/>
        <v>-7687.7095786557775</v>
      </c>
    </row>
    <row r="103" spans="6:7" x14ac:dyDescent="0.2">
      <c r="F103" s="55">
        <f t="shared" si="2"/>
        <v>2.9000000000000012</v>
      </c>
      <c r="G103" s="85">
        <f t="shared" si="1"/>
        <v>-7433.6216052192358</v>
      </c>
    </row>
    <row r="104" spans="6:7" x14ac:dyDescent="0.2">
      <c r="F104" s="55">
        <f t="shared" si="2"/>
        <v>3.0000000000000013</v>
      </c>
      <c r="G104" s="85">
        <f t="shared" si="1"/>
        <v>-7187.4999999999964</v>
      </c>
    </row>
    <row r="105" spans="6:7" x14ac:dyDescent="0.2">
      <c r="F105" s="55">
        <f t="shared" si="2"/>
        <v>3.1000000000000014</v>
      </c>
      <c r="G105" s="85">
        <f t="shared" si="1"/>
        <v>-6949.1882009837318</v>
      </c>
    </row>
    <row r="106" spans="6:7" x14ac:dyDescent="0.2">
      <c r="F106" s="55">
        <f t="shared" si="2"/>
        <v>3.2000000000000015</v>
      </c>
      <c r="G106" s="85">
        <f t="shared" si="1"/>
        <v>-6718.4969225785517</v>
      </c>
    </row>
    <row r="107" spans="6:7" x14ac:dyDescent="0.2">
      <c r="F107" s="55">
        <f t="shared" si="2"/>
        <v>3.3000000000000016</v>
      </c>
      <c r="G107" s="85">
        <f t="shared" si="1"/>
        <v>-6495.2142578640833</v>
      </c>
    </row>
    <row r="108" spans="6:7" x14ac:dyDescent="0.2">
      <c r="F108" s="55">
        <f t="shared" si="2"/>
        <v>3.4000000000000017</v>
      </c>
      <c r="G108" s="85">
        <f t="shared" si="1"/>
        <v>-6279.1134485349321</v>
      </c>
    </row>
    <row r="109" spans="6:7" x14ac:dyDescent="0.2">
      <c r="F109" s="55">
        <f t="shared" si="2"/>
        <v>3.5000000000000018</v>
      </c>
      <c r="G109" s="85">
        <f t="shared" si="1"/>
        <v>-6069.9588477366215</v>
      </c>
    </row>
    <row r="110" spans="6:7" x14ac:dyDescent="0.2">
      <c r="F110" s="55">
        <f t="shared" si="2"/>
        <v>3.6000000000000019</v>
      </c>
      <c r="G110" s="85">
        <f t="shared" si="1"/>
        <v>-5867.510479164951</v>
      </c>
    </row>
    <row r="111" spans="6:7" x14ac:dyDescent="0.2">
      <c r="F111" s="55">
        <f t="shared" si="2"/>
        <v>3.700000000000002</v>
      </c>
      <c r="G111" s="85">
        <f t="shared" si="1"/>
        <v>-5671.5275035396753</v>
      </c>
    </row>
    <row r="112" spans="6:7" x14ac:dyDescent="0.2">
      <c r="F112" s="55">
        <f t="shared" si="2"/>
        <v>3.800000000000002</v>
      </c>
      <c r="G112" s="85">
        <f t="shared" si="1"/>
        <v>-5481.7708333333276</v>
      </c>
    </row>
    <row r="113" spans="6:7" x14ac:dyDescent="0.2">
      <c r="F113" s="55">
        <f t="shared" si="2"/>
        <v>3.9000000000000021</v>
      </c>
      <c r="G113" s="85">
        <f t="shared" si="1"/>
        <v>-5298.0050829161264</v>
      </c>
    </row>
    <row r="114" spans="6:7" x14ac:dyDescent="0.2">
      <c r="F114" s="55">
        <f t="shared" si="2"/>
        <v>4.0000000000000018</v>
      </c>
      <c r="G114" s="85">
        <f t="shared" si="1"/>
        <v>-5119.9999999999973</v>
      </c>
    </row>
    <row r="115" spans="6:7" x14ac:dyDescent="0.2">
      <c r="F115" s="55">
        <f t="shared" si="2"/>
        <v>4.1000000000000014</v>
      </c>
      <c r="G115" s="85">
        <f t="shared" si="1"/>
        <v>-4947.5314924124195</v>
      </c>
    </row>
    <row r="116" spans="6:7" x14ac:dyDescent="0.2">
      <c r="F116" s="55">
        <f t="shared" si="2"/>
        <v>4.2000000000000011</v>
      </c>
      <c r="G116" s="85">
        <f t="shared" si="1"/>
        <v>-4780.3823395539348</v>
      </c>
    </row>
    <row r="117" spans="6:7" x14ac:dyDescent="0.2">
      <c r="F117" s="55">
        <f t="shared" si="2"/>
        <v>4.3000000000000007</v>
      </c>
      <c r="G117" s="85">
        <f t="shared" si="1"/>
        <v>-4618.3426587048343</v>
      </c>
    </row>
    <row r="118" spans="6:7" x14ac:dyDescent="0.2">
      <c r="F118" s="55">
        <f t="shared" si="2"/>
        <v>4.4000000000000004</v>
      </c>
      <c r="G118" s="85">
        <f t="shared" si="1"/>
        <v>-4461.2101813747895</v>
      </c>
    </row>
    <row r="119" spans="6:7" x14ac:dyDescent="0.2">
      <c r="F119" s="55">
        <f t="shared" si="2"/>
        <v>4.5</v>
      </c>
      <c r="G119" s="85">
        <f t="shared" si="1"/>
        <v>-4308.790383170548</v>
      </c>
    </row>
    <row r="120" spans="6:7" x14ac:dyDescent="0.2">
      <c r="F120" s="55">
        <f t="shared" si="2"/>
        <v>4.5999999999999996</v>
      </c>
      <c r="G120" s="85">
        <f t="shared" si="1"/>
        <v>-4160.8965014577261</v>
      </c>
    </row>
    <row r="121" spans="6:7" x14ac:dyDescent="0.2">
      <c r="F121" s="55">
        <f t="shared" si="2"/>
        <v>4.6999999999999993</v>
      </c>
      <c r="G121" s="85">
        <f t="shared" si="1"/>
        <v>-4017.349467852458</v>
      </c>
    </row>
    <row r="122" spans="6:7" x14ac:dyDescent="0.2">
      <c r="F122" s="55">
        <f t="shared" si="2"/>
        <v>4.7999999999999989</v>
      </c>
      <c r="G122" s="85">
        <f t="shared" si="1"/>
        <v>-3877.9777768666222</v>
      </c>
    </row>
    <row r="123" spans="6:7" x14ac:dyDescent="0.2">
      <c r="F123" s="55">
        <f t="shared" si="2"/>
        <v>4.8999999999999986</v>
      </c>
      <c r="G123" s="85">
        <f t="shared" si="1"/>
        <v>-3742.6173075144029</v>
      </c>
    </row>
    <row r="124" spans="6:7" x14ac:dyDescent="0.2">
      <c r="F124" s="55">
        <f t="shared" si="2"/>
        <v>4.9999999999999982</v>
      </c>
      <c r="G124" s="85">
        <f t="shared" si="1"/>
        <v>-3611.111111111114</v>
      </c>
    </row>
    <row r="125" spans="6:7" x14ac:dyDescent="0.2">
      <c r="F125" s="55">
        <f t="shared" si="2"/>
        <v>5.0999999999999979</v>
      </c>
      <c r="G125" s="85">
        <f t="shared" si="1"/>
        <v>-3483.3091756578765</v>
      </c>
    </row>
    <row r="126" spans="6:7" x14ac:dyDescent="0.2">
      <c r="F126" s="55">
        <f t="shared" si="2"/>
        <v>5.1999999999999975</v>
      </c>
      <c r="G126" s="85">
        <f t="shared" si="1"/>
        <v>-3359.0681749521691</v>
      </c>
    </row>
    <row r="127" spans="6:7" x14ac:dyDescent="0.2">
      <c r="F127" s="55">
        <f t="shared" si="2"/>
        <v>5.2999999999999972</v>
      </c>
      <c r="G127" s="85">
        <f t="shared" si="1"/>
        <v>-3238.2512087727532</v>
      </c>
    </row>
    <row r="128" spans="6:7" x14ac:dyDescent="0.2">
      <c r="F128" s="55">
        <f t="shared" si="2"/>
        <v>5.3999999999999968</v>
      </c>
      <c r="G128" s="85">
        <f t="shared" si="1"/>
        <v>-3120.7275390625027</v>
      </c>
    </row>
    <row r="129" spans="6:7" x14ac:dyDescent="0.2">
      <c r="F129" s="55">
        <f>N(F128)+0.1</f>
        <v>5.4999999999999964</v>
      </c>
      <c r="G129" s="85">
        <f t="shared" si="1"/>
        <v>-3006.3723258989576</v>
      </c>
    </row>
    <row r="130" spans="6:7" x14ac:dyDescent="0.2">
      <c r="F130" s="55">
        <f t="shared" ref="F130:F149" si="3">N(F129)+0.1</f>
        <v>5.5999999999999961</v>
      </c>
      <c r="G130" s="85">
        <f t="shared" si="1"/>
        <v>-2895.0663661407498</v>
      </c>
    </row>
    <row r="131" spans="6:7" x14ac:dyDescent="0.2">
      <c r="F131" s="55">
        <f t="shared" si="3"/>
        <v>5.6999999999999957</v>
      </c>
      <c r="G131" s="85">
        <f t="shared" si="1"/>
        <v>-2786.6958369214349</v>
      </c>
    </row>
    <row r="132" spans="6:7" x14ac:dyDescent="0.2">
      <c r="F132" s="55">
        <f t="shared" si="3"/>
        <v>5.7999999999999954</v>
      </c>
      <c r="G132" s="85">
        <f t="shared" si="1"/>
        <v>-2681.1520455933282</v>
      </c>
    </row>
    <row r="133" spans="6:7" x14ac:dyDescent="0.2">
      <c r="F133" s="55">
        <f t="shared" si="3"/>
        <v>5.899999999999995</v>
      </c>
      <c r="G133" s="85">
        <f t="shared" si="1"/>
        <v>-2578.3311872734134</v>
      </c>
    </row>
    <row r="134" spans="6:7" x14ac:dyDescent="0.2">
      <c r="F134" s="55">
        <f t="shared" si="3"/>
        <v>5.9999999999999947</v>
      </c>
      <c r="G134" s="85">
        <f t="shared" si="1"/>
        <v>-2478.1341107871772</v>
      </c>
    </row>
    <row r="135" spans="6:7" x14ac:dyDescent="0.2">
      <c r="F135" s="55">
        <f t="shared" si="3"/>
        <v>6.0999999999999943</v>
      </c>
      <c r="G135" s="85">
        <f t="shared" si="1"/>
        <v>-2380.4660935260495</v>
      </c>
    </row>
    <row r="136" spans="6:7" x14ac:dyDescent="0.2">
      <c r="F136" s="55">
        <f t="shared" si="3"/>
        <v>6.199999999999994</v>
      </c>
      <c r="G136" s="85">
        <f t="shared" si="1"/>
        <v>-2285.2366255144088</v>
      </c>
    </row>
    <row r="137" spans="6:7" x14ac:dyDescent="0.2">
      <c r="F137" s="55">
        <f t="shared" si="3"/>
        <v>6.2999999999999936</v>
      </c>
      <c r="G137" s="85">
        <f t="shared" si="1"/>
        <v>-2192.3592028111939</v>
      </c>
    </row>
    <row r="138" spans="6:7" x14ac:dyDescent="0.2">
      <c r="F138" s="55">
        <f t="shared" si="3"/>
        <v>6.3999999999999932</v>
      </c>
      <c r="G138" s="85">
        <f t="shared" si="1"/>
        <v>-2101.7511302390831</v>
      </c>
    </row>
    <row r="139" spans="6:7" x14ac:dyDescent="0.2">
      <c r="F139" s="55">
        <f t="shared" si="3"/>
        <v>6.4999999999999929</v>
      </c>
      <c r="G139" s="85">
        <f t="shared" si="1"/>
        <v>-2013.3333333333394</v>
      </c>
    </row>
    <row r="140" spans="6:7" x14ac:dyDescent="0.2">
      <c r="F140" s="55">
        <f t="shared" si="3"/>
        <v>6.5999999999999925</v>
      </c>
      <c r="G140" s="85">
        <f t="shared" ref="G140:G174" si="4">XNPV($F140,$H$15:$H$18,$G$15:$G$18)</f>
        <v>-1927.0301793264384</v>
      </c>
    </row>
    <row r="141" spans="6:7" x14ac:dyDescent="0.2">
      <c r="F141" s="55">
        <f t="shared" si="3"/>
        <v>6.6999999999999922</v>
      </c>
      <c r="G141" s="85">
        <f t="shared" si="4"/>
        <v>-1842.769306928531</v>
      </c>
    </row>
    <row r="142" spans="6:7" x14ac:dyDescent="0.2">
      <c r="F142" s="55">
        <f t="shared" si="3"/>
        <v>6.7999999999999918</v>
      </c>
      <c r="G142" s="85">
        <f t="shared" si="4"/>
        <v>-1760.4814646234836</v>
      </c>
    </row>
    <row r="143" spans="6:7" x14ac:dyDescent="0.2">
      <c r="F143" s="55">
        <f t="shared" si="3"/>
        <v>6.8999999999999915</v>
      </c>
      <c r="G143" s="85">
        <f t="shared" si="4"/>
        <v>-1680.1003571725628</v>
      </c>
    </row>
    <row r="144" spans="6:7" x14ac:dyDescent="0.2">
      <c r="F144" s="55">
        <f t="shared" si="3"/>
        <v>6.9999999999999911</v>
      </c>
      <c r="G144" s="85">
        <f t="shared" si="4"/>
        <v>-1601.5625000000064</v>
      </c>
    </row>
    <row r="145" spans="6:7" x14ac:dyDescent="0.2">
      <c r="F145" s="55">
        <f t="shared" si="3"/>
        <v>7.0999999999999908</v>
      </c>
      <c r="G145" s="85">
        <f t="shared" si="4"/>
        <v>-1524.8070811247226</v>
      </c>
    </row>
    <row r="146" spans="6:7" x14ac:dyDescent="0.2">
      <c r="F146" s="55">
        <f t="shared" si="3"/>
        <v>7.1999999999999904</v>
      </c>
      <c r="G146" s="85">
        <f t="shared" si="4"/>
        <v>-1449.7758302984648</v>
      </c>
    </row>
    <row r="147" spans="6:7" x14ac:dyDescent="0.2">
      <c r="F147" s="55">
        <f t="shared" si="3"/>
        <v>7.2999999999999901</v>
      </c>
      <c r="G147" s="85">
        <f t="shared" si="4"/>
        <v>-1376.4128950116108</v>
      </c>
    </row>
    <row r="148" spans="6:7" x14ac:dyDescent="0.2">
      <c r="F148" s="55">
        <f t="shared" si="3"/>
        <v>7.3999999999999897</v>
      </c>
      <c r="G148" s="85">
        <f t="shared" si="4"/>
        <v>-1304.6647230320775</v>
      </c>
    </row>
    <row r="149" spans="6:7" x14ac:dyDescent="0.2">
      <c r="F149" s="55">
        <f t="shared" si="3"/>
        <v>7.4999999999999893</v>
      </c>
      <c r="G149" s="85">
        <f t="shared" si="4"/>
        <v>-1234.479951150018</v>
      </c>
    </row>
    <row r="150" spans="6:7" x14ac:dyDescent="0.2">
      <c r="F150" s="55">
        <f>N(F149)+0.1</f>
        <v>7.599999999999989</v>
      </c>
      <c r="G150" s="85">
        <f t="shared" si="4"/>
        <v>-1165.8092998100872</v>
      </c>
    </row>
    <row r="151" spans="6:7" x14ac:dyDescent="0.2">
      <c r="F151" s="55">
        <f t="shared" ref="F151:F162" si="5">N(F150)+0.1</f>
        <v>7.6999999999999886</v>
      </c>
      <c r="G151" s="85">
        <f t="shared" si="4"/>
        <v>-1098.6054733235915</v>
      </c>
    </row>
    <row r="152" spans="6:7" x14ac:dyDescent="0.2">
      <c r="F152" s="55">
        <f t="shared" si="5"/>
        <v>7.7999999999999883</v>
      </c>
      <c r="G152" s="85">
        <f t="shared" si="4"/>
        <v>-1032.8230653643952</v>
      </c>
    </row>
    <row r="153" spans="6:7" x14ac:dyDescent="0.2">
      <c r="F153" s="55">
        <f t="shared" si="5"/>
        <v>7.8999999999999879</v>
      </c>
      <c r="G153" s="85">
        <f t="shared" si="4"/>
        <v>-968.41846946462204</v>
      </c>
    </row>
    <row r="154" spans="6:7" x14ac:dyDescent="0.2">
      <c r="F154" s="55">
        <f t="shared" si="5"/>
        <v>7.9999999999999876</v>
      </c>
      <c r="G154" s="85">
        <f t="shared" si="4"/>
        <v>-905.34979423869083</v>
      </c>
    </row>
    <row r="155" spans="6:7" x14ac:dyDescent="0.2">
      <c r="F155" s="55">
        <f t="shared" si="5"/>
        <v>8.0999999999999872</v>
      </c>
      <c r="G155" s="85">
        <f t="shared" si="4"/>
        <v>-843.5767830768516</v>
      </c>
    </row>
    <row r="156" spans="6:7" x14ac:dyDescent="0.2">
      <c r="F156" s="55">
        <f t="shared" si="5"/>
        <v>8.1999999999999869</v>
      </c>
      <c r="G156" s="85">
        <f t="shared" si="4"/>
        <v>-783.0607380619789</v>
      </c>
    </row>
    <row r="157" spans="6:7" x14ac:dyDescent="0.2">
      <c r="F157" s="55">
        <f t="shared" si="5"/>
        <v>8.2999999999999865</v>
      </c>
      <c r="G157" s="85">
        <f t="shared" si="4"/>
        <v>-723.76444787576429</v>
      </c>
    </row>
    <row r="158" spans="6:7" x14ac:dyDescent="0.2">
      <c r="F158" s="55">
        <f t="shared" si="5"/>
        <v>8.3999999999999861</v>
      </c>
      <c r="G158" s="85">
        <f t="shared" si="4"/>
        <v>-665.65211947257217</v>
      </c>
    </row>
    <row r="159" spans="6:7" x14ac:dyDescent="0.2">
      <c r="F159" s="55">
        <f t="shared" si="5"/>
        <v>8.4999999999999858</v>
      </c>
      <c r="G159" s="85">
        <f t="shared" si="4"/>
        <v>-608.68931331098622</v>
      </c>
    </row>
    <row r="160" spans="6:7" x14ac:dyDescent="0.2">
      <c r="F160" s="55">
        <f t="shared" si="5"/>
        <v>8.5999999999999854</v>
      </c>
      <c r="G160" s="85">
        <f t="shared" si="4"/>
        <v>-552.8428819444523</v>
      </c>
    </row>
    <row r="161" spans="6:7" x14ac:dyDescent="0.2">
      <c r="F161" s="55">
        <f t="shared" si="5"/>
        <v>8.6999999999999851</v>
      </c>
      <c r="G161" s="85">
        <f t="shared" si="4"/>
        <v>-498.08091178330807</v>
      </c>
    </row>
    <row r="162" spans="6:7" x14ac:dyDescent="0.2">
      <c r="F162" s="55">
        <f t="shared" si="5"/>
        <v>8.7999999999999847</v>
      </c>
      <c r="G162" s="85">
        <f t="shared" si="4"/>
        <v>-444.37266785098882</v>
      </c>
    </row>
    <row r="163" spans="6:7" x14ac:dyDescent="0.2">
      <c r="F163" s="55">
        <f>N(F162)+0.1</f>
        <v>8.8999999999999844</v>
      </c>
      <c r="G163" s="85">
        <f t="shared" si="4"/>
        <v>-391.68854136715419</v>
      </c>
    </row>
    <row r="164" spans="6:7" x14ac:dyDescent="0.2">
      <c r="F164" s="55">
        <f t="shared" ref="F164:F170" si="6">N(F163)+0.1</f>
        <v>8.999999999999984</v>
      </c>
      <c r="G164" s="85">
        <f t="shared" si="4"/>
        <v>-340.00000000000847</v>
      </c>
    </row>
    <row r="165" spans="6:7" x14ac:dyDescent="0.2">
      <c r="F165" s="55">
        <f t="shared" si="6"/>
        <v>9.0999999999999837</v>
      </c>
      <c r="G165" s="85">
        <f t="shared" si="4"/>
        <v>-289.27954063910272</v>
      </c>
    </row>
    <row r="166" spans="6:7" x14ac:dyDescent="0.2">
      <c r="F166" s="55">
        <f t="shared" si="6"/>
        <v>9.1999999999999833</v>
      </c>
      <c r="G166" s="85">
        <f t="shared" si="4"/>
        <v>-239.50064454848518</v>
      </c>
    </row>
    <row r="167" spans="6:7" x14ac:dyDescent="0.2">
      <c r="F167" s="55">
        <f t="shared" si="6"/>
        <v>9.2999999999999829</v>
      </c>
      <c r="G167" s="85">
        <f t="shared" si="4"/>
        <v>-190.63773476816164</v>
      </c>
    </row>
    <row r="168" spans="6:7" x14ac:dyDescent="0.2">
      <c r="F168" s="55">
        <f t="shared" si="6"/>
        <v>9.3999999999999826</v>
      </c>
      <c r="G168" s="85">
        <f t="shared" si="4"/>
        <v>-142.6661356395166</v>
      </c>
    </row>
    <row r="169" spans="6:7" x14ac:dyDescent="0.2">
      <c r="F169" s="55">
        <f t="shared" si="6"/>
        <v>9.4999999999999822</v>
      </c>
      <c r="G169" s="85">
        <f t="shared" si="4"/>
        <v>-95.562034337552603</v>
      </c>
    </row>
    <row r="170" spans="6:7" x14ac:dyDescent="0.2">
      <c r="F170" s="55">
        <f t="shared" si="6"/>
        <v>9.5999999999999819</v>
      </c>
      <c r="G170" s="85">
        <f t="shared" si="4"/>
        <v>-49.302444299665076</v>
      </c>
    </row>
    <row r="171" spans="6:7" x14ac:dyDescent="0.2">
      <c r="F171" s="55">
        <f>N(F170)+0.1</f>
        <v>9.6999999999999815</v>
      </c>
      <c r="G171" s="85">
        <f t="shared" si="4"/>
        <v>-3.865170447086129</v>
      </c>
    </row>
    <row r="172" spans="6:7" x14ac:dyDescent="0.2">
      <c r="F172" s="55">
        <f>N(F171)+0.1</f>
        <v>9.7999999999999812</v>
      </c>
      <c r="G172" s="85">
        <f t="shared" si="4"/>
        <v>40.771223898787817</v>
      </c>
    </row>
    <row r="173" spans="6:7" x14ac:dyDescent="0.2">
      <c r="F173" s="55">
        <f>N(F172)+0.1</f>
        <v>9.8999999999999808</v>
      </c>
      <c r="G173" s="85">
        <f t="shared" si="4"/>
        <v>84.627448497283723</v>
      </c>
    </row>
    <row r="174" spans="6:7" x14ac:dyDescent="0.2">
      <c r="F174" s="55">
        <f>N(F173)+0.1</f>
        <v>9.9999999999999805</v>
      </c>
      <c r="G174" s="85">
        <f t="shared" si="4"/>
        <v>127.72351615325965</v>
      </c>
    </row>
    <row r="175" spans="6:7" x14ac:dyDescent="0.2"/>
    <row r="176" spans="6:7" x14ac:dyDescent="0.2"/>
    <row r="177" x14ac:dyDescent="0.2"/>
    <row r="178" x14ac:dyDescent="0.2"/>
    <row r="179" x14ac:dyDescent="0.2"/>
  </sheetData>
  <mergeCells count="1">
    <mergeCell ref="A3:E3"/>
  </mergeCells>
  <conditionalFormatting sqref="I4">
    <cfRule type="cellIs" dxfId="11" priority="1" operator="notEqual">
      <formula>0</formula>
    </cfRule>
  </conditionalFormatting>
  <hyperlinks>
    <hyperlink ref="A3:E3" location="HL_Navigator" tooltip="Go to Navigator (Table of Contents)" display="Navigator" xr:uid="{B5C639B8-1411-4BFA-AA32-1F4D3206A981}"/>
    <hyperlink ref="A3" location="HL_Navigator" display="Navigator" xr:uid="{63DC6106-A267-4FD5-9625-4036AE32F805}"/>
    <hyperlink ref="I4" location="Overall_Error_Check" tooltip="Go to Overall Error Check" display="Overall_Error_Check" xr:uid="{275DBC10-5965-4B94-B713-CEE768337DD6}"/>
  </hyperlinks>
  <pageMargins left="0.7" right="0.7" top="0.75" bottom="0.75" header="0.3" footer="0.3"/>
  <ignoredErrors>
    <ignoredError xmlns:x16r3="http://schemas.microsoft.com/office/spreadsheetml/2018/08/main" sqref="G60:G63" x16r3:misleadingFormat="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B323C-27C9-4468-82F6-C3E8F62124F7}">
  <dimension ref="A1:X44"/>
  <sheetViews>
    <sheetView showGridLines="0" workbookViewId="0">
      <pane ySplit="4" topLeftCell="A5" activePane="bottomLeft" state="frozen"/>
      <selection pane="bottomLeft" activeCell="A5" sqref="A5"/>
    </sheetView>
  </sheetViews>
  <sheetFormatPr defaultColWidth="0" defaultRowHeight="12" zeroHeight="1" x14ac:dyDescent="0.2"/>
  <cols>
    <col min="1" max="1" width="3.7109375" customWidth="1"/>
    <col min="2" max="2" width="3.7109375" style="50" customWidth="1"/>
    <col min="3" max="4" width="3.7109375" customWidth="1"/>
    <col min="5" max="6" width="9" customWidth="1"/>
    <col min="7" max="7" width="18.28515625" customWidth="1"/>
    <col min="8" max="8" width="12.5703125" customWidth="1"/>
    <col min="9" max="24" width="9" customWidth="1"/>
    <col min="25" max="16384" width="9" hidden="1"/>
  </cols>
  <sheetData>
    <row r="1" spans="1:23" ht="20.25" x14ac:dyDescent="0.3">
      <c r="A1" s="14" t="str">
        <f ca="1">IF(ISERROR(RIGHT(CELL("filename",A1),LEN(CELL("filename",A1))-FIND("]",CELL("filename",A1)))),
"",
RIGHT(CELL("filename",A1),LEN(CELL("filename",A1))-FIND("]",CELL("filename",A1))))</f>
        <v>Positive Number</v>
      </c>
      <c r="C1" s="50"/>
      <c r="D1" s="50"/>
      <c r="E1" s="50"/>
      <c r="F1" s="50"/>
      <c r="G1" s="50"/>
      <c r="H1" s="50"/>
      <c r="I1" s="50"/>
      <c r="J1" s="50"/>
      <c r="K1" s="50"/>
      <c r="L1" s="50"/>
      <c r="M1" s="50"/>
      <c r="N1" s="50"/>
      <c r="O1" s="50"/>
      <c r="P1" s="50"/>
      <c r="Q1" s="50"/>
      <c r="R1" s="50"/>
      <c r="S1" s="50"/>
      <c r="T1" s="50"/>
      <c r="U1" s="50"/>
    </row>
    <row r="2" spans="1:23" ht="18" x14ac:dyDescent="0.25">
      <c r="A2" s="16" t="str">
        <f ca="1">Model_Name</f>
        <v>Chapter 7.5 - SP Internal Rate of Return Summary Examples.xlsx</v>
      </c>
      <c r="C2" s="50"/>
      <c r="D2" s="50"/>
      <c r="E2" s="50"/>
      <c r="F2" s="50"/>
      <c r="G2" s="50"/>
      <c r="H2" s="50"/>
      <c r="I2" s="50"/>
      <c r="J2" s="50"/>
      <c r="K2" s="50"/>
      <c r="L2" s="50"/>
      <c r="M2" s="50"/>
      <c r="N2" s="50"/>
      <c r="O2" s="50"/>
      <c r="P2" s="50"/>
      <c r="Q2" s="50"/>
      <c r="R2" s="50"/>
      <c r="S2" s="50"/>
      <c r="T2" s="50"/>
      <c r="U2" s="50"/>
    </row>
    <row r="3" spans="1:23" x14ac:dyDescent="0.2">
      <c r="A3" s="91" t="s">
        <v>1</v>
      </c>
      <c r="B3" s="91"/>
      <c r="C3" s="91"/>
      <c r="D3" s="91"/>
      <c r="E3" s="91"/>
      <c r="F3" s="50"/>
      <c r="G3" s="50"/>
      <c r="H3" s="50"/>
      <c r="I3" s="50"/>
      <c r="J3" s="50"/>
      <c r="K3" s="50"/>
      <c r="L3" s="50"/>
      <c r="M3" s="50"/>
      <c r="N3" s="50"/>
      <c r="O3" s="50"/>
      <c r="P3" s="50"/>
      <c r="Q3" s="50"/>
      <c r="R3" s="50"/>
      <c r="S3" s="50"/>
      <c r="T3" s="50"/>
      <c r="U3" s="50"/>
    </row>
    <row r="4" spans="1:23" ht="14.25" x14ac:dyDescent="0.2">
      <c r="A4" s="50"/>
      <c r="C4" s="50"/>
      <c r="D4" s="50"/>
      <c r="E4" s="50" t="s">
        <v>2</v>
      </c>
      <c r="F4" s="50"/>
      <c r="G4" s="50"/>
      <c r="H4" s="50"/>
      <c r="I4" s="1">
        <f>Overall_Error_Check</f>
        <v>0</v>
      </c>
      <c r="J4" s="50"/>
      <c r="K4" s="50"/>
      <c r="L4" s="50"/>
      <c r="M4" s="50"/>
      <c r="N4" s="50"/>
      <c r="O4" s="50"/>
      <c r="P4" s="50"/>
      <c r="Q4" s="50"/>
      <c r="R4" s="50"/>
      <c r="S4" s="50"/>
      <c r="T4" s="50"/>
      <c r="U4" s="50"/>
    </row>
    <row r="5" spans="1:23" x14ac:dyDescent="0.2">
      <c r="A5" s="49"/>
      <c r="C5" s="50"/>
      <c r="D5" s="50"/>
      <c r="E5" s="50"/>
      <c r="F5" s="50"/>
      <c r="G5" s="50"/>
      <c r="H5" s="50"/>
      <c r="I5" s="50"/>
      <c r="J5" s="50"/>
      <c r="K5" s="50"/>
      <c r="L5" s="50"/>
      <c r="M5" s="50"/>
      <c r="N5" s="50"/>
      <c r="O5" s="50"/>
      <c r="P5" s="50"/>
      <c r="Q5" s="50"/>
      <c r="R5" s="50"/>
      <c r="S5" s="50"/>
      <c r="T5" s="50"/>
      <c r="U5" s="50"/>
    </row>
    <row r="6" spans="1:23" s="50" customFormat="1" ht="16.5" thickBot="1" x14ac:dyDescent="0.3">
      <c r="B6" s="41">
        <f>MAX($B$5:$B5)+1</f>
        <v>1</v>
      </c>
      <c r="C6" s="2" t="str">
        <f ca="1">A1</f>
        <v>Positive Number</v>
      </c>
      <c r="D6" s="2"/>
      <c r="E6" s="2"/>
      <c r="F6" s="2"/>
      <c r="G6" s="2"/>
      <c r="H6" s="2"/>
      <c r="I6" s="2"/>
      <c r="J6" s="2"/>
      <c r="K6" s="2"/>
      <c r="L6" s="2"/>
      <c r="M6" s="2"/>
      <c r="N6" s="2"/>
      <c r="O6" s="2"/>
      <c r="P6" s="2"/>
      <c r="Q6" s="2"/>
      <c r="R6" s="2"/>
      <c r="S6" s="2"/>
      <c r="T6" s="2"/>
      <c r="U6" s="2"/>
      <c r="V6" s="2"/>
      <c r="W6" s="2"/>
    </row>
    <row r="7" spans="1:23" ht="12.75" thickTop="1" x14ac:dyDescent="0.2"/>
    <row r="8" spans="1:23" ht="16.5" x14ac:dyDescent="0.25">
      <c r="C8" s="3" t="s">
        <v>110</v>
      </c>
    </row>
    <row r="9" spans="1:23" x14ac:dyDescent="0.2"/>
    <row r="10" spans="1:23" ht="15" x14ac:dyDescent="0.25">
      <c r="D10" s="4" t="s">
        <v>69</v>
      </c>
    </row>
    <row r="11" spans="1:23" x14ac:dyDescent="0.2"/>
    <row r="12" spans="1:23" x14ac:dyDescent="0.2">
      <c r="G12" t="s">
        <v>9</v>
      </c>
      <c r="H12">
        <f>Days_in_Year</f>
        <v>365</v>
      </c>
    </row>
    <row r="13" spans="1:23" x14ac:dyDescent="0.2">
      <c r="G13" t="s">
        <v>108</v>
      </c>
      <c r="H13" s="20">
        <v>-9.9999999999999995E-7</v>
      </c>
    </row>
    <row r="14" spans="1:23" x14ac:dyDescent="0.2"/>
    <row r="15" spans="1:23" x14ac:dyDescent="0.2">
      <c r="G15" s="63" t="s">
        <v>104</v>
      </c>
    </row>
    <row r="16" spans="1:23" ht="12.75" x14ac:dyDescent="0.2">
      <c r="G16" s="65">
        <v>44197</v>
      </c>
      <c r="H16" s="66">
        <v>5000</v>
      </c>
    </row>
    <row r="17" spans="4:8" ht="12.75" x14ac:dyDescent="0.2">
      <c r="G17" s="65">
        <f>G16+$H$12</f>
        <v>44562</v>
      </c>
      <c r="H17" s="66">
        <v>-55000</v>
      </c>
    </row>
    <row r="18" spans="4:8" ht="12.75" x14ac:dyDescent="0.2">
      <c r="G18" s="65">
        <f>G17+$H$12</f>
        <v>44927</v>
      </c>
      <c r="H18" s="66">
        <v>10000</v>
      </c>
    </row>
    <row r="19" spans="4:8" ht="12.75" x14ac:dyDescent="0.2">
      <c r="G19" s="65">
        <f>G18+$H$12</f>
        <v>45292</v>
      </c>
      <c r="H19" s="66">
        <v>60000</v>
      </c>
    </row>
    <row r="20" spans="4:8" x14ac:dyDescent="0.2"/>
    <row r="21" spans="4:8" x14ac:dyDescent="0.2">
      <c r="G21" t="s">
        <v>100</v>
      </c>
      <c r="H21">
        <f>XIRR(H16:H19,G16:G19)</f>
        <v>2.9802322387695314E-9</v>
      </c>
    </row>
    <row r="22" spans="4:8" x14ac:dyDescent="0.2">
      <c r="G22" t="str">
        <f>"XNPV using "&amp;G21</f>
        <v>XNPV using XIRR</v>
      </c>
      <c r="H22">
        <f>XNPV(H21,H16:H19,G16:G19)</f>
        <v>19999.999567866325</v>
      </c>
    </row>
    <row r="23" spans="4:8" x14ac:dyDescent="0.2"/>
    <row r="24" spans="4:8" x14ac:dyDescent="0.2">
      <c r="G24" t="s">
        <v>98</v>
      </c>
      <c r="H24">
        <f>IRR(H16:H19)</f>
        <v>0.21426775375350626</v>
      </c>
    </row>
    <row r="25" spans="4:8" x14ac:dyDescent="0.2">
      <c r="G25" t="str">
        <f>"XNPV using "&amp;G24</f>
        <v>XNPV using IRR</v>
      </c>
      <c r="H25">
        <f>XNPV(H24,H16:H19,G16:G19)</f>
        <v>0</v>
      </c>
    </row>
    <row r="26" spans="4:8" x14ac:dyDescent="0.2"/>
    <row r="27" spans="4:8" x14ac:dyDescent="0.2"/>
    <row r="28" spans="4:8" ht="15" x14ac:dyDescent="0.25">
      <c r="D28" s="4" t="s">
        <v>109</v>
      </c>
    </row>
    <row r="29" spans="4:8" x14ac:dyDescent="0.2"/>
    <row r="30" spans="4:8" x14ac:dyDescent="0.2">
      <c r="G30" s="63" t="str">
        <f>G15</f>
        <v>Dates</v>
      </c>
    </row>
    <row r="31" spans="4:8" x14ac:dyDescent="0.2">
      <c r="G31" s="65">
        <f>G32-H12</f>
        <v>43832</v>
      </c>
      <c r="H31" s="61">
        <f>Very_small_neg_no</f>
        <v>-9.9999999999999995E-7</v>
      </c>
    </row>
    <row r="32" spans="4:8" x14ac:dyDescent="0.2">
      <c r="G32" s="65">
        <f t="shared" ref="G32:H35" si="0">G16</f>
        <v>44197</v>
      </c>
      <c r="H32" s="61">
        <f t="shared" si="0"/>
        <v>5000</v>
      </c>
    </row>
    <row r="33" spans="7:8" x14ac:dyDescent="0.2">
      <c r="G33" s="65">
        <f t="shared" si="0"/>
        <v>44562</v>
      </c>
      <c r="H33" s="61">
        <f t="shared" si="0"/>
        <v>-55000</v>
      </c>
    </row>
    <row r="34" spans="7:8" x14ac:dyDescent="0.2">
      <c r="G34" s="65">
        <f t="shared" si="0"/>
        <v>44927</v>
      </c>
      <c r="H34" s="61">
        <f t="shared" si="0"/>
        <v>10000</v>
      </c>
    </row>
    <row r="35" spans="7:8" x14ac:dyDescent="0.2">
      <c r="G35" s="65">
        <f t="shared" si="0"/>
        <v>45292</v>
      </c>
      <c r="H35" s="61">
        <f t="shared" si="0"/>
        <v>60000</v>
      </c>
    </row>
    <row r="36" spans="7:8" x14ac:dyDescent="0.2"/>
    <row r="37" spans="7:8" x14ac:dyDescent="0.2">
      <c r="G37" t="s">
        <v>100</v>
      </c>
      <c r="H37" s="55">
        <f>XIRR(H31:H35,G31:G35)</f>
        <v>0.21426774859428405</v>
      </c>
    </row>
    <row r="38" spans="7:8" x14ac:dyDescent="0.2">
      <c r="G38" t="str">
        <f>"XNPV using "&amp;G37</f>
        <v>XNPV using XIRR</v>
      </c>
      <c r="H38" s="61">
        <f>XNPV(H37,H32:H35,G32:G35)</f>
        <v>2.9235109832370654E-4</v>
      </c>
    </row>
    <row r="39" spans="7:8" x14ac:dyDescent="0.2"/>
    <row r="40" spans="7:8" x14ac:dyDescent="0.2">
      <c r="G40" t="s">
        <v>98</v>
      </c>
      <c r="H40" s="55">
        <f>IRR(H32:H35)</f>
        <v>0.21426775375350626</v>
      </c>
    </row>
    <row r="41" spans="7:8" x14ac:dyDescent="0.2">
      <c r="G41" t="str">
        <f>"XNPV using "&amp;G40</f>
        <v>XNPV using IRR</v>
      </c>
      <c r="H41" s="54">
        <f>XNPV(H40,H32:H35,G32:G35)</f>
        <v>0</v>
      </c>
    </row>
    <row r="42" spans="7:8" x14ac:dyDescent="0.2"/>
    <row r="43" spans="7:8" x14ac:dyDescent="0.2"/>
    <row r="44" spans="7:8" x14ac:dyDescent="0.2"/>
  </sheetData>
  <mergeCells count="1">
    <mergeCell ref="A3:E3"/>
  </mergeCells>
  <conditionalFormatting sqref="I4">
    <cfRule type="cellIs" dxfId="10" priority="1" operator="notEqual">
      <formula>0</formula>
    </cfRule>
  </conditionalFormatting>
  <hyperlinks>
    <hyperlink ref="A3:E3" location="HL_Navigator" tooltip="Go to Navigator (Table of Contents)" display="Navigator" xr:uid="{6A52F066-A670-4EFB-8727-3E0E4AB34FF5}"/>
    <hyperlink ref="A3" location="HL_Navigator" display="Navigator" xr:uid="{0AD1DBD2-C000-4D6A-AAB8-1563A5CBD148}"/>
    <hyperlink ref="I4" location="Overall_Error_Check" tooltip="Go to Overall Error Check" display="Overall_Error_Check" xr:uid="{8F15D488-ABA2-4B98-A9D4-84A83DC231F7}"/>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3ECE2-87DE-4F08-BB52-C6E4E6024444}">
  <dimension ref="A1:U58"/>
  <sheetViews>
    <sheetView showGridLines="0" workbookViewId="0">
      <pane ySplit="4" topLeftCell="A5" activePane="bottomLeft" state="frozen"/>
      <selection pane="bottomLeft" activeCell="A5" sqref="A5"/>
    </sheetView>
  </sheetViews>
  <sheetFormatPr defaultColWidth="0" defaultRowHeight="12" zeroHeight="1" x14ac:dyDescent="0.2"/>
  <cols>
    <col min="1" max="1" width="3.7109375" customWidth="1"/>
    <col min="2" max="2" width="3.7109375" style="50" customWidth="1"/>
    <col min="3" max="4" width="3.7109375" customWidth="1"/>
    <col min="5" max="6" width="9" customWidth="1"/>
    <col min="7" max="7" width="14.85546875" bestFit="1" customWidth="1"/>
    <col min="8" max="8" width="13.7109375" customWidth="1"/>
    <col min="9" max="15" width="9" customWidth="1"/>
    <col min="16" max="16" width="9.140625" customWidth="1"/>
    <col min="17" max="16384" width="9.140625" hidden="1"/>
  </cols>
  <sheetData>
    <row r="1" spans="1:21" s="50" customFormat="1" ht="20.25" x14ac:dyDescent="0.3">
      <c r="A1" s="14" t="str">
        <f ca="1">IF(ISERROR(RIGHT(CELL("filename",A1),LEN(CELL("filename",A1))-FIND("]",CELL("filename",A1)))),
"",
RIGHT(CELL("filename",A1),LEN(CELL("filename",A1))-FIND("]",CELL("filename",A1))))</f>
        <v>Considering Orders</v>
      </c>
    </row>
    <row r="2" spans="1:21" s="50" customFormat="1" ht="18" x14ac:dyDescent="0.25">
      <c r="A2" s="16" t="str">
        <f ca="1">Model_Name</f>
        <v>Chapter 7.5 - SP Internal Rate of Return Summary Examples.xlsx</v>
      </c>
    </row>
    <row r="3" spans="1:21" s="50" customFormat="1" x14ac:dyDescent="0.2">
      <c r="A3" s="91" t="s">
        <v>1</v>
      </c>
      <c r="B3" s="91"/>
      <c r="C3" s="91"/>
      <c r="D3" s="91"/>
      <c r="E3" s="91"/>
    </row>
    <row r="4" spans="1:21" s="50" customFormat="1" ht="14.25" x14ac:dyDescent="0.2">
      <c r="E4" s="50" t="s">
        <v>2</v>
      </c>
      <c r="I4" s="1">
        <f>Overall_Error_Check</f>
        <v>0</v>
      </c>
    </row>
    <row r="5" spans="1:21" s="50" customFormat="1" x14ac:dyDescent="0.2">
      <c r="A5" s="49"/>
    </row>
    <row r="6" spans="1:21" s="50" customFormat="1" ht="16.5" thickBot="1" x14ac:dyDescent="0.3">
      <c r="B6" s="41">
        <f>MAX($B$5:$B5)+1</f>
        <v>1</v>
      </c>
      <c r="C6" s="2" t="str">
        <f ca="1">A1</f>
        <v>Considering Orders</v>
      </c>
      <c r="D6" s="2"/>
      <c r="E6" s="2"/>
      <c r="F6" s="2"/>
      <c r="G6" s="2"/>
      <c r="H6" s="2"/>
      <c r="I6" s="2"/>
      <c r="J6" s="2"/>
      <c r="K6" s="2"/>
      <c r="L6" s="2"/>
      <c r="M6" s="2"/>
      <c r="N6" s="2"/>
      <c r="O6" s="2"/>
      <c r="P6" s="53"/>
      <c r="Q6" s="53"/>
      <c r="R6" s="53"/>
      <c r="S6" s="53"/>
      <c r="T6" s="53"/>
      <c r="U6" s="53"/>
    </row>
    <row r="7" spans="1:21" ht="12.75" thickTop="1" x14ac:dyDescent="0.2"/>
    <row r="8" spans="1:21" ht="16.5" x14ac:dyDescent="0.25">
      <c r="C8" s="3" t="s">
        <v>107</v>
      </c>
    </row>
    <row r="9" spans="1:21" x14ac:dyDescent="0.2"/>
    <row r="10" spans="1:21" ht="15" x14ac:dyDescent="0.25">
      <c r="D10" s="4" t="s">
        <v>69</v>
      </c>
    </row>
    <row r="11" spans="1:21" x14ac:dyDescent="0.2"/>
    <row r="12" spans="1:21" x14ac:dyDescent="0.2">
      <c r="G12" t="s">
        <v>9</v>
      </c>
      <c r="H12">
        <f>Days_in_Year</f>
        <v>365</v>
      </c>
    </row>
    <row r="13" spans="1:21" x14ac:dyDescent="0.2"/>
    <row r="14" spans="1:21" x14ac:dyDescent="0.2">
      <c r="G14" s="63" t="s">
        <v>104</v>
      </c>
    </row>
    <row r="15" spans="1:21" x14ac:dyDescent="0.2">
      <c r="G15" s="65">
        <v>44197</v>
      </c>
      <c r="H15" s="61">
        <f>'Value Not Right'!H15</f>
        <v>5000</v>
      </c>
    </row>
    <row r="16" spans="1:21" x14ac:dyDescent="0.2">
      <c r="G16" s="65">
        <f>G15+$H$12</f>
        <v>44562</v>
      </c>
      <c r="H16" s="61">
        <f>'Value Not Right'!H16</f>
        <v>-55000</v>
      </c>
    </row>
    <row r="17" spans="4:8" x14ac:dyDescent="0.2">
      <c r="G17" s="65">
        <f>G16+$H$12</f>
        <v>44927</v>
      </c>
      <c r="H17" s="61">
        <f>'Value Not Right'!H17</f>
        <v>10000</v>
      </c>
    </row>
    <row r="18" spans="4:8" x14ac:dyDescent="0.2">
      <c r="G18" s="65">
        <f>G17+$H$12</f>
        <v>45292</v>
      </c>
      <c r="H18" s="61">
        <f>'Value Not Right'!H18</f>
        <v>60000</v>
      </c>
    </row>
    <row r="19" spans="4:8" x14ac:dyDescent="0.2"/>
    <row r="20" spans="4:8" x14ac:dyDescent="0.2">
      <c r="G20" t="s">
        <v>100</v>
      </c>
      <c r="H20">
        <f>XIRR(H15:H18,G15:G18)</f>
        <v>2.9802322387695314E-9</v>
      </c>
    </row>
    <row r="21" spans="4:8" x14ac:dyDescent="0.2">
      <c r="G21" t="str">
        <f>"XNPV using "&amp;G20</f>
        <v>XNPV using XIRR</v>
      </c>
      <c r="H21">
        <f>XNPV(H20,H15:H18,G15:G18)</f>
        <v>19999.999567866325</v>
      </c>
    </row>
    <row r="22" spans="4:8" x14ac:dyDescent="0.2"/>
    <row r="23" spans="4:8" x14ac:dyDescent="0.2">
      <c r="G23" t="s">
        <v>98</v>
      </c>
      <c r="H23">
        <f>IRR(H15:H18)</f>
        <v>0.21426775375350626</v>
      </c>
    </row>
    <row r="24" spans="4:8" x14ac:dyDescent="0.2">
      <c r="G24" t="str">
        <f>"XNPV using "&amp;G23</f>
        <v>XNPV using IRR</v>
      </c>
      <c r="H24">
        <f>XNPV(H23,H15:H18,G15:G18)</f>
        <v>0</v>
      </c>
    </row>
    <row r="25" spans="4:8" x14ac:dyDescent="0.2"/>
    <row r="26" spans="4:8" x14ac:dyDescent="0.2"/>
    <row r="27" spans="4:8" ht="15" x14ac:dyDescent="0.25">
      <c r="D27" s="4" t="s">
        <v>105</v>
      </c>
    </row>
    <row r="28" spans="4:8" x14ac:dyDescent="0.2"/>
    <row r="29" spans="4:8" x14ac:dyDescent="0.2">
      <c r="G29" s="63" t="str">
        <f>G14</f>
        <v>Dates</v>
      </c>
      <c r="H29" s="50"/>
    </row>
    <row r="30" spans="4:8" x14ac:dyDescent="0.2">
      <c r="G30" s="65">
        <f>G16</f>
        <v>44562</v>
      </c>
      <c r="H30" s="61">
        <f>H16</f>
        <v>-55000</v>
      </c>
    </row>
    <row r="31" spans="4:8" x14ac:dyDescent="0.2">
      <c r="G31" s="65">
        <f>G15</f>
        <v>44197</v>
      </c>
      <c r="H31" s="61">
        <f>H15</f>
        <v>5000</v>
      </c>
    </row>
    <row r="32" spans="4:8" x14ac:dyDescent="0.2">
      <c r="G32" s="65">
        <f>G18</f>
        <v>45292</v>
      </c>
      <c r="H32" s="61">
        <f>H18</f>
        <v>60000</v>
      </c>
    </row>
    <row r="33" spans="4:8" x14ac:dyDescent="0.2">
      <c r="G33" s="65">
        <f>G17</f>
        <v>44927</v>
      </c>
      <c r="H33" s="61">
        <f>H17</f>
        <v>10000</v>
      </c>
    </row>
    <row r="34" spans="4:8" x14ac:dyDescent="0.2"/>
    <row r="35" spans="4:8" x14ac:dyDescent="0.2">
      <c r="G35" t="s">
        <v>100</v>
      </c>
      <c r="H35" s="55">
        <f>XIRR(H30:H33,G30:G33,H38)</f>
        <v>0.21426775773201542</v>
      </c>
    </row>
    <row r="36" spans="4:8" x14ac:dyDescent="0.2">
      <c r="G36" t="str">
        <f>"XNPV using "&amp;G35</f>
        <v>XNPV using XIRR</v>
      </c>
      <c r="H36" t="e">
        <f>XNPV(H35,H30:H33,G30:G33)</f>
        <v>#NUM!</v>
      </c>
    </row>
    <row r="37" spans="4:8" x14ac:dyDescent="0.2"/>
    <row r="38" spans="4:8" x14ac:dyDescent="0.2">
      <c r="G38" t="s">
        <v>98</v>
      </c>
      <c r="H38">
        <f>IRR(H30:H33)</f>
        <v>0.16317000694566408</v>
      </c>
    </row>
    <row r="39" spans="4:8" x14ac:dyDescent="0.2">
      <c r="G39" t="str">
        <f>"XNPV using "&amp;G38</f>
        <v>XNPV using IRR</v>
      </c>
      <c r="H39" t="e">
        <f>XNPV(H38,H30:H33,G30:G33)</f>
        <v>#NUM!</v>
      </c>
    </row>
    <row r="40" spans="4:8" x14ac:dyDescent="0.2"/>
    <row r="41" spans="4:8" x14ac:dyDescent="0.2"/>
    <row r="42" spans="4:8" ht="15" x14ac:dyDescent="0.25">
      <c r="D42" s="4" t="s">
        <v>106</v>
      </c>
    </row>
    <row r="43" spans="4:8" x14ac:dyDescent="0.2"/>
    <row r="44" spans="4:8" x14ac:dyDescent="0.2">
      <c r="G44" s="63" t="str">
        <f>G29</f>
        <v>Dates</v>
      </c>
      <c r="H44" s="50"/>
    </row>
    <row r="45" spans="4:8" x14ac:dyDescent="0.2">
      <c r="G45" s="65">
        <f>G18</f>
        <v>45292</v>
      </c>
      <c r="H45" s="61">
        <f>H18</f>
        <v>60000</v>
      </c>
    </row>
    <row r="46" spans="4:8" x14ac:dyDescent="0.2">
      <c r="G46" s="65">
        <f>G17</f>
        <v>44927</v>
      </c>
      <c r="H46" s="61">
        <f>H17</f>
        <v>10000</v>
      </c>
    </row>
    <row r="47" spans="4:8" x14ac:dyDescent="0.2">
      <c r="G47" s="65">
        <f>G16</f>
        <v>44562</v>
      </c>
      <c r="H47" s="61">
        <f>H16</f>
        <v>-55000</v>
      </c>
    </row>
    <row r="48" spans="4:8" x14ac:dyDescent="0.2">
      <c r="G48" s="65">
        <f>G15</f>
        <v>44197</v>
      </c>
      <c r="H48" s="61">
        <f>H15</f>
        <v>5000</v>
      </c>
    </row>
    <row r="49" spans="7:8" x14ac:dyDescent="0.2"/>
    <row r="50" spans="7:8" x14ac:dyDescent="0.2">
      <c r="G50" t="s">
        <v>100</v>
      </c>
      <c r="H50" t="e">
        <f>XIRR(H45:H48,G45:G48,0.214267753753497)</f>
        <v>#NUM!</v>
      </c>
    </row>
    <row r="51" spans="7:8" x14ac:dyDescent="0.2">
      <c r="G51" t="str">
        <f>"XNPV using "&amp;G50</f>
        <v>XNPV using XIRR</v>
      </c>
      <c r="H51" t="e">
        <f>XNPV(H50,H45:H48,G45:G48)</f>
        <v>#NUM!</v>
      </c>
    </row>
    <row r="52" spans="7:8" x14ac:dyDescent="0.2"/>
    <row r="53" spans="7:8" x14ac:dyDescent="0.2">
      <c r="G53" t="s">
        <v>98</v>
      </c>
      <c r="H53">
        <f>IRR(H45:H48)</f>
        <v>-0.17645840720975137</v>
      </c>
    </row>
    <row r="54" spans="7:8" x14ac:dyDescent="0.2">
      <c r="G54" t="str">
        <f>"XNPV using "&amp;G53</f>
        <v>XNPV using IRR</v>
      </c>
      <c r="H54" t="e">
        <f>XNPV(H53,H45:H48,G45:G48)</f>
        <v>#NUM!</v>
      </c>
    </row>
    <row r="55" spans="7:8" x14ac:dyDescent="0.2"/>
    <row r="56" spans="7:8" x14ac:dyDescent="0.2"/>
    <row r="57" spans="7:8" x14ac:dyDescent="0.2"/>
    <row r="58" spans="7:8" x14ac:dyDescent="0.2"/>
  </sheetData>
  <mergeCells count="1">
    <mergeCell ref="A3:E3"/>
  </mergeCells>
  <conditionalFormatting sqref="I4">
    <cfRule type="cellIs" dxfId="9" priority="1" operator="notEqual">
      <formula>0</formula>
    </cfRule>
  </conditionalFormatting>
  <hyperlinks>
    <hyperlink ref="A3:E3" location="HL_Navigator" tooltip="Go to Navigator (Table of Contents)" display="Navigator" xr:uid="{D5B3FB3E-6C8B-4354-B212-BE15E1A6CDE5}"/>
    <hyperlink ref="A3" location="HL_Navigator" display="Navigator" xr:uid="{5066C78E-D2CC-4E49-9D16-510674081D6A}"/>
    <hyperlink ref="I4" location="Overall_Error_Check" tooltip="Go to Overall Error Check" display="Overall_Error_Check" xr:uid="{07F1F6FA-136B-4965-80A1-4FC8DED5584A}"/>
  </hyperlinks>
  <pageMargins left="0.7" right="0.7" top="0.75" bottom="0.75" header="0.3" footer="0.3"/>
  <ignoredErrors>
    <ignoredError sqref="G31:H32" formula="1"/>
    <ignoredError sqref="H50" evalError="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32</vt:i4>
      </vt:variant>
    </vt:vector>
  </HeadingPairs>
  <TitlesOfParts>
    <vt:vector size="46" baseType="lpstr">
      <vt:lpstr>Cover</vt:lpstr>
      <vt:lpstr>Navigator</vt:lpstr>
      <vt:lpstr>Style Guide</vt:lpstr>
      <vt:lpstr>Model Parameters</vt:lpstr>
      <vt:lpstr>IRR vs. XIRR</vt:lpstr>
      <vt:lpstr>Care with Date</vt:lpstr>
      <vt:lpstr>Value Not Right</vt:lpstr>
      <vt:lpstr>Positive Number</vt:lpstr>
      <vt:lpstr>Considering Orders</vt:lpstr>
      <vt:lpstr>Unreliable_XNPV</vt:lpstr>
      <vt:lpstr>XIRR Examples</vt:lpstr>
      <vt:lpstr>XIRR Examples_Negative Start</vt:lpstr>
      <vt:lpstr>Error Checks</vt:lpstr>
      <vt:lpstr>Change Log</vt:lpstr>
      <vt:lpstr>Client_Name</vt:lpstr>
      <vt:lpstr>Days_in_Year</vt:lpstr>
      <vt:lpstr>HL_1</vt:lpstr>
      <vt:lpstr>HL_10</vt:lpstr>
      <vt:lpstr>HL_11</vt:lpstr>
      <vt:lpstr>HL_12</vt:lpstr>
      <vt:lpstr>HL_13</vt:lpstr>
      <vt:lpstr>HL_14</vt:lpstr>
      <vt:lpstr>HL_3</vt:lpstr>
      <vt:lpstr>HL_4</vt:lpstr>
      <vt:lpstr>HL_5</vt:lpstr>
      <vt:lpstr>HL_6</vt:lpstr>
      <vt:lpstr>HL_7</vt:lpstr>
      <vt:lpstr>HL_8</vt:lpstr>
      <vt:lpstr>HL_9</vt:lpstr>
      <vt:lpstr>HL_Model_Parameters</vt:lpstr>
      <vt:lpstr>HL_Navigator</vt:lpstr>
      <vt:lpstr>Leap_Year_Divisor</vt:lpstr>
      <vt:lpstr>Model_Name</vt:lpstr>
      <vt:lpstr>Months_in_Half_Yr</vt:lpstr>
      <vt:lpstr>Months_in_Month</vt:lpstr>
      <vt:lpstr>Months_in_Quarter</vt:lpstr>
      <vt:lpstr>Months_in_Year</vt:lpstr>
      <vt:lpstr>Number_of_characters_in_year</vt:lpstr>
      <vt:lpstr>Overall_Error_Check</vt:lpstr>
      <vt:lpstr>Quarters_in_Year</vt:lpstr>
      <vt:lpstr>Rate_Used</vt:lpstr>
      <vt:lpstr>Rounding_Accuracy</vt:lpstr>
      <vt:lpstr>Thousand</vt:lpstr>
      <vt:lpstr>Very_Large_Number</vt:lpstr>
      <vt:lpstr>Very_small_neg_no</vt:lpstr>
      <vt:lpstr>Very_Small_Number</vt:lpstr>
    </vt:vector>
  </TitlesOfParts>
  <Company>SumProduct Pty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Liam</dc:creator>
  <cp:lastModifiedBy>Tim Heng</cp:lastModifiedBy>
  <dcterms:created xsi:type="dcterms:W3CDTF">2012-10-20T20:39:47Z</dcterms:created>
  <dcterms:modified xsi:type="dcterms:W3CDTF">2020-05-26T17:07:29Z</dcterms:modified>
</cp:coreProperties>
</file>