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 codeName="{B08E4597-CF32-672E-EC9B-63DB714DCB7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m Heng\Dropbox\SumProduct\Training\Financial Modelling Book 2\Final screenshots and files\Chapter 07 - Valuations\"/>
    </mc:Choice>
  </mc:AlternateContent>
  <xr:revisionPtr revIDLastSave="0" documentId="13_ncr:1_{76686BBE-E82D-48D2-B4BB-D368A8838CFE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Pre-Tax Cost of Equity Example" sheetId="11" r:id="rId5"/>
    <sheet name="Timing" sheetId="6" r:id="rId6"/>
    <sheet name="Lookup Data" sheetId="12" r:id="rId7"/>
    <sheet name="Error Checks" sheetId="5" r:id="rId8"/>
  </sheets>
  <definedNames>
    <definedName name="Client_Name">'Model Parameters'!$G$12</definedName>
    <definedName name="Days_in_Year">'Model Parameters'!$G$19</definedName>
    <definedName name="End">'Lookup Data'!$F$15</definedName>
    <definedName name="Example_Reporting_Month" localSheetId="4">'Pre-Tax Cost of Equity Example'!$H$19</definedName>
    <definedName name="Example_Reporting_Month">Timing!$H$19</definedName>
    <definedName name="Growth_Rate_in_Perpetuity">'Pre-Tax Cost of Equity Example'!$G$26</definedName>
    <definedName name="HL_1">Cover!$A$3</definedName>
    <definedName name="HL_3">'Style Guide'!$A$3</definedName>
    <definedName name="HL_4">'Model Parameters'!$A$3</definedName>
    <definedName name="HL_5" localSheetId="4">'Pre-Tax Cost of Equity Example'!$A$3</definedName>
    <definedName name="HL_6">Timing!$A$3</definedName>
    <definedName name="HL_7">'Lookup Data'!$A$3</definedName>
    <definedName name="HL_8">'Error Checks'!$A$3</definedName>
    <definedName name="HL_Model_Parameters">'Model Parameters'!$A$5</definedName>
    <definedName name="HL_Navigator">Navigator!$A$1</definedName>
    <definedName name="HL_NPV_Check">'Pre-Tax Cost of Equity Example'!$G$102</definedName>
    <definedName name="HL_PostTax_TV_Tolerance">'Pre-Tax Cost of Equity Example'!$G$73</definedName>
    <definedName name="HL_PreTax_TV_Tolerance">'Pre-Tax Cost of Equity Example'!$G$104</definedName>
    <definedName name="LU_Periods">Timing!$J$9:$AC$9</definedName>
    <definedName name="LU_Tax_Delay">Timing!$I$9:$AC$9</definedName>
    <definedName name="LU_Timing">'Lookup Data'!$F$13:$F$15</definedName>
    <definedName name="LU_Yes_No">'Lookup Data'!$F$25:$F$26</definedName>
    <definedName name="Middle">'Lookup Data'!$F$14</definedName>
    <definedName name="Model_Name">'Model Parameters'!$G$11</definedName>
    <definedName name="Model_Start_Date" localSheetId="4">'Pre-Tax Cost of Equity Example'!$H$15</definedName>
    <definedName name="Model_Start_Date">Timing!$H$15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Months_Per_Year" localSheetId="4">'Pre-Tax Cost of Equity Example'!$H$30</definedName>
    <definedName name="Months_Per_Year">Timing!$H$23</definedName>
    <definedName name="No">'Lookup Data'!$F$26</definedName>
    <definedName name="Number_of_Periods">'Pre-Tax Cost of Equity Example'!$G$33</definedName>
    <definedName name="Overall_Error_Check">'Error Checks'!$I$17</definedName>
    <definedName name="Periodicity" localSheetId="4">'Pre-Tax Cost of Equity Example'!$H$17</definedName>
    <definedName name="Periodicity">Timing!$H$17</definedName>
    <definedName name="Post_Tax_WACC">'Pre-Tax Cost of Equity Example'!$G$22</definedName>
    <definedName name="PostTax_Cost_of_Equity">'Pre-Tax Cost of Equity Example'!$G$18</definedName>
    <definedName name="PostTax_NPV">'Pre-Tax Cost of Equity Example'!$I$71</definedName>
    <definedName name="Pre_Tax_WACC">'Pre-Tax Cost of Equity Example'!$G$86</definedName>
    <definedName name="PreTax_Cash_Flows">'Pre-Tax Cost of Equity Example'!$J$52:$AC$52</definedName>
    <definedName name="PreTax_Cost_of_Debt">'Pre-Tax Cost of Equity Example'!$G$17</definedName>
    <definedName name="PreTax_Cost_of_Equity">'Pre-Tax Cost of Equity Example'!$G$83</definedName>
    <definedName name="PreTax_NPV">'Pre-Tax Cost of Equity Example'!$I$102</definedName>
    <definedName name="_xlnm.Print_Titles" localSheetId="4">'Pre-Tax Cost of Equity Example'!$1:$9</definedName>
    <definedName name="Proportion_of_Debt">'Pre-Tax Cost of Equity Example'!$G$20</definedName>
    <definedName name="Quarters_in_Year">'Model Parameters'!$G$24</definedName>
    <definedName name="Reporting_Month_Factor" localSheetId="4">'Pre-Tax Cost of Equity Example'!$H$21</definedName>
    <definedName name="Reporting_Month_Factor">Timing!$H$21</definedName>
    <definedName name="Rounding_Accuracy">'Model Parameters'!$G$26</definedName>
    <definedName name="Start">'Lookup Data'!$F$13</definedName>
    <definedName name="Tax_Delay">'Pre-Tax Cost of Equity Example'!$G$34</definedName>
    <definedName name="Tax_Rate">'Pre-Tax Cost of Equity Example'!$G$19</definedName>
    <definedName name="Terminal_Value_Switch">'Pre-Tax Cost of Equity Example'!$G$24</definedName>
    <definedName name="Thousand">'Model Parameters'!$G$31</definedName>
    <definedName name="Timing_of_CashFlows">'Pre-Tax Cost of Equity Example'!$G$35</definedName>
    <definedName name="TV_Tolerance">'Pre-Tax Cost of Equity Example'!$G$28</definedName>
    <definedName name="Very_Large_Number">'Model Parameters'!$G$28</definedName>
    <definedName name="Very_Small_Number">'Model Parameters'!$G$29</definedName>
    <definedName name="Yes">'Lookup Data'!$F$25</definedName>
  </definedNames>
  <calcPr calcId="191029" iterateDelta="9.9999999999999995E-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4" i="11" l="1"/>
  <c r="L94" i="11"/>
  <c r="M94" i="11"/>
  <c r="N94" i="11"/>
  <c r="O94" i="11"/>
  <c r="P94" i="11"/>
  <c r="R94" i="11"/>
  <c r="S94" i="11"/>
  <c r="T94" i="11"/>
  <c r="U94" i="11"/>
  <c r="V94" i="11"/>
  <c r="W94" i="11"/>
  <c r="X94" i="11"/>
  <c r="Y94" i="11"/>
  <c r="Z94" i="11"/>
  <c r="AA94" i="11"/>
  <c r="AB94" i="11"/>
  <c r="AC94" i="11"/>
  <c r="J94" i="11"/>
  <c r="F104" i="11" l="1"/>
  <c r="F73" i="11"/>
  <c r="I28" i="11"/>
  <c r="E28" i="11"/>
  <c r="F28" i="11"/>
  <c r="G112" i="11"/>
  <c r="G111" i="11"/>
  <c r="E112" i="11"/>
  <c r="E111" i="11"/>
  <c r="G86" i="11"/>
  <c r="Q94" i="11" s="1"/>
  <c r="G84" i="11"/>
  <c r="G82" i="11"/>
  <c r="E94" i="11"/>
  <c r="E63" i="11"/>
  <c r="F61" i="11"/>
  <c r="F62" i="11" s="1"/>
  <c r="F63" i="11" s="1"/>
  <c r="F65" i="11" s="1"/>
  <c r="F69" i="11" s="1"/>
  <c r="F71" i="11" s="1"/>
  <c r="F93" i="11" s="1"/>
  <c r="F94" i="11" s="1"/>
  <c r="E61" i="11"/>
  <c r="E93" i="11" s="1"/>
  <c r="F47" i="11"/>
  <c r="E47" i="11"/>
  <c r="F46" i="11"/>
  <c r="E46" i="11"/>
  <c r="F45" i="11"/>
  <c r="E45" i="11"/>
  <c r="F44" i="11"/>
  <c r="E44" i="11"/>
  <c r="F41" i="11"/>
  <c r="F40" i="11"/>
  <c r="F39" i="11"/>
  <c r="F38" i="11"/>
  <c r="E41" i="11"/>
  <c r="E40" i="11"/>
  <c r="E39" i="11"/>
  <c r="E38" i="11"/>
  <c r="I26" i="11"/>
  <c r="F26" i="11"/>
  <c r="E26" i="11"/>
  <c r="F24" i="12"/>
  <c r="H25" i="12" s="1"/>
  <c r="F12" i="12"/>
  <c r="H13" i="12" s="1"/>
  <c r="B6" i="12"/>
  <c r="B18" i="12" s="1"/>
  <c r="A1" i="12"/>
  <c r="G22" i="11"/>
  <c r="C7" i="11"/>
  <c r="C8" i="11"/>
  <c r="C9" i="11"/>
  <c r="C6" i="11"/>
  <c r="B11" i="11"/>
  <c r="B55" i="11" s="1"/>
  <c r="A1" i="11"/>
  <c r="G114" i="11" l="1"/>
  <c r="F96" i="11"/>
  <c r="F100" i="11" s="1"/>
  <c r="F102" i="11" s="1"/>
  <c r="B76" i="11"/>
  <c r="J9" i="6" l="1"/>
  <c r="H21" i="6"/>
  <c r="I19" i="6"/>
  <c r="K9" i="6" l="1"/>
  <c r="J9" i="11"/>
  <c r="J6" i="6"/>
  <c r="J44" i="11" l="1"/>
  <c r="J63" i="11"/>
  <c r="J62" i="11"/>
  <c r="J93" i="11"/>
  <c r="J61" i="11"/>
  <c r="J38" i="11"/>
  <c r="L9" i="6"/>
  <c r="K9" i="11"/>
  <c r="J7" i="6"/>
  <c r="J7" i="11" s="1"/>
  <c r="J6" i="11"/>
  <c r="J96" i="11" l="1"/>
  <c r="K93" i="11"/>
  <c r="K61" i="11"/>
  <c r="K63" i="11"/>
  <c r="K62" i="11"/>
  <c r="J65" i="11"/>
  <c r="M9" i="6"/>
  <c r="L9" i="11"/>
  <c r="K6" i="6"/>
  <c r="K6" i="11" s="1"/>
  <c r="J5" i="6"/>
  <c r="J5" i="11" s="1"/>
  <c r="L93" i="11" l="1"/>
  <c r="L62" i="11"/>
  <c r="L61" i="11"/>
  <c r="L63" i="11"/>
  <c r="K65" i="11"/>
  <c r="K96" i="11"/>
  <c r="M9" i="11"/>
  <c r="N9" i="6"/>
  <c r="K7" i="6"/>
  <c r="K7" i="11" s="1"/>
  <c r="M93" i="11" l="1"/>
  <c r="M96" i="11" s="1"/>
  <c r="M61" i="11"/>
  <c r="M63" i="11"/>
  <c r="L96" i="11"/>
  <c r="M62" i="11"/>
  <c r="L65" i="11"/>
  <c r="O9" i="6"/>
  <c r="N9" i="11"/>
  <c r="K5" i="6"/>
  <c r="K5" i="11" s="1"/>
  <c r="L6" i="6"/>
  <c r="L6" i="11" s="1"/>
  <c r="N63" i="11" l="1"/>
  <c r="N93" i="11"/>
  <c r="N61" i="11"/>
  <c r="N62" i="11"/>
  <c r="M65" i="11"/>
  <c r="P9" i="6"/>
  <c r="O9" i="11"/>
  <c r="L7" i="6"/>
  <c r="L7" i="11" s="1"/>
  <c r="B11" i="6"/>
  <c r="A1" i="6"/>
  <c r="O93" i="11" l="1"/>
  <c r="O61" i="11"/>
  <c r="O63" i="11"/>
  <c r="O62" i="11"/>
  <c r="N65" i="11"/>
  <c r="N96" i="11"/>
  <c r="P9" i="11"/>
  <c r="Q9" i="6"/>
  <c r="L5" i="6"/>
  <c r="L5" i="11" s="1"/>
  <c r="M6" i="6"/>
  <c r="M6" i="11" s="1"/>
  <c r="A1" i="5"/>
  <c r="O96" i="11" l="1"/>
  <c r="P93" i="11"/>
  <c r="P61" i="11"/>
  <c r="P62" i="11"/>
  <c r="O65" i="11"/>
  <c r="Q9" i="11"/>
  <c r="R9" i="6"/>
  <c r="M7" i="6"/>
  <c r="M7" i="11" s="1"/>
  <c r="I37" i="4"/>
  <c r="P63" i="11" l="1"/>
  <c r="P65" i="11" s="1"/>
  <c r="Q61" i="11"/>
  <c r="Q93" i="11"/>
  <c r="Q62" i="11"/>
  <c r="P96" i="11"/>
  <c r="S9" i="6"/>
  <c r="R9" i="11"/>
  <c r="N6" i="6"/>
  <c r="N6" i="11" s="1"/>
  <c r="M5" i="6"/>
  <c r="M5" i="11" s="1"/>
  <c r="A1" i="2"/>
  <c r="E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Q96" i="11" l="1"/>
  <c r="Q63" i="11"/>
  <c r="Q65" i="11" s="1"/>
  <c r="R63" i="11"/>
  <c r="R93" i="11"/>
  <c r="R61" i="11"/>
  <c r="R62" i="11"/>
  <c r="A2" i="11"/>
  <c r="A2" i="12"/>
  <c r="T9" i="6"/>
  <c r="S9" i="11"/>
  <c r="N7" i="6"/>
  <c r="A2" i="6"/>
  <c r="A2" i="2"/>
  <c r="A2" i="5"/>
  <c r="B56" i="4"/>
  <c r="A2" i="4"/>
  <c r="A2" i="3"/>
  <c r="C6" i="1"/>
  <c r="J8" i="6"/>
  <c r="J8" i="11" s="1"/>
  <c r="K8" i="6"/>
  <c r="K8" i="11" s="1"/>
  <c r="L8" i="6"/>
  <c r="L8" i="11" s="1"/>
  <c r="M8" i="6"/>
  <c r="M8" i="11" s="1"/>
  <c r="M46" i="11" l="1"/>
  <c r="L46" i="11"/>
  <c r="J46" i="11"/>
  <c r="N44" i="11"/>
  <c r="K46" i="11"/>
  <c r="M44" i="11"/>
  <c r="J45" i="11"/>
  <c r="L44" i="11"/>
  <c r="K44" i="11"/>
  <c r="M45" i="11"/>
  <c r="L45" i="11"/>
  <c r="K45" i="11"/>
  <c r="R65" i="11"/>
  <c r="S61" i="11"/>
  <c r="S93" i="11"/>
  <c r="S62" i="11"/>
  <c r="R96" i="11"/>
  <c r="K40" i="11"/>
  <c r="N38" i="11"/>
  <c r="L40" i="11"/>
  <c r="M38" i="11"/>
  <c r="M40" i="11"/>
  <c r="K38" i="11"/>
  <c r="L38" i="11"/>
  <c r="K39" i="11"/>
  <c r="L39" i="11"/>
  <c r="M39" i="11"/>
  <c r="J39" i="11"/>
  <c r="J40" i="11"/>
  <c r="U9" i="6"/>
  <c r="T9" i="11"/>
  <c r="N7" i="11"/>
  <c r="O6" i="6"/>
  <c r="N8" i="6"/>
  <c r="N8" i="11" s="1"/>
  <c r="N5" i="6"/>
  <c r="N5" i="11" s="1"/>
  <c r="J47" i="11" l="1"/>
  <c r="J98" i="11" s="1"/>
  <c r="M47" i="11"/>
  <c r="M98" i="11" s="1"/>
  <c r="M100" i="11" s="1"/>
  <c r="K47" i="11"/>
  <c r="K98" i="11" s="1"/>
  <c r="L47" i="11"/>
  <c r="L98" i="11" s="1"/>
  <c r="S63" i="11"/>
  <c r="S65" i="11" s="1"/>
  <c r="S96" i="11"/>
  <c r="M41" i="11"/>
  <c r="M67" i="11" s="1"/>
  <c r="M69" i="11" s="1"/>
  <c r="O44" i="11"/>
  <c r="N45" i="11"/>
  <c r="N46" i="11"/>
  <c r="T62" i="11"/>
  <c r="T61" i="11"/>
  <c r="T93" i="11"/>
  <c r="T63" i="11"/>
  <c r="O38" i="11"/>
  <c r="J41" i="11"/>
  <c r="L41" i="11"/>
  <c r="K41" i="11"/>
  <c r="N39" i="11"/>
  <c r="N40" i="11"/>
  <c r="U9" i="11"/>
  <c r="V9" i="6"/>
  <c r="O6" i="11"/>
  <c r="O7" i="6"/>
  <c r="N47" i="11" l="1"/>
  <c r="N98" i="11" s="1"/>
  <c r="T96" i="11"/>
  <c r="U62" i="11"/>
  <c r="U63" i="11" s="1"/>
  <c r="U61" i="11"/>
  <c r="U93" i="11"/>
  <c r="T65" i="11"/>
  <c r="L67" i="11"/>
  <c r="L69" i="11" s="1"/>
  <c r="L100" i="11"/>
  <c r="J67" i="11"/>
  <c r="J100" i="11"/>
  <c r="K67" i="11"/>
  <c r="K69" i="11" s="1"/>
  <c r="K100" i="11"/>
  <c r="N41" i="11"/>
  <c r="V9" i="11"/>
  <c r="W9" i="6"/>
  <c r="O7" i="11"/>
  <c r="O5" i="6"/>
  <c r="O5" i="11" s="1"/>
  <c r="P6" i="6"/>
  <c r="O8" i="6"/>
  <c r="O8" i="11" s="1"/>
  <c r="J69" i="11" l="1"/>
  <c r="O46" i="11"/>
  <c r="O45" i="11"/>
  <c r="P44" i="11"/>
  <c r="U96" i="11"/>
  <c r="V93" i="11"/>
  <c r="V61" i="11"/>
  <c r="V63" i="11"/>
  <c r="V62" i="11"/>
  <c r="U65" i="11"/>
  <c r="N67" i="11"/>
  <c r="N69" i="11" s="1"/>
  <c r="N100" i="11"/>
  <c r="O40" i="11"/>
  <c r="P38" i="11"/>
  <c r="O39" i="11"/>
  <c r="W9" i="11"/>
  <c r="X9" i="6"/>
  <c r="P7" i="6"/>
  <c r="P6" i="11"/>
  <c r="O47" i="11" l="1"/>
  <c r="O98" i="11" s="1"/>
  <c r="W93" i="11"/>
  <c r="W63" i="11"/>
  <c r="W61" i="11"/>
  <c r="W62" i="11"/>
  <c r="V65" i="11"/>
  <c r="V96" i="11"/>
  <c r="O41" i="11"/>
  <c r="Y9" i="6"/>
  <c r="X9" i="11"/>
  <c r="Q6" i="6"/>
  <c r="P7" i="11"/>
  <c r="P8" i="6"/>
  <c r="P8" i="11" s="1"/>
  <c r="P5" i="6"/>
  <c r="P5" i="11" s="1"/>
  <c r="Q44" i="11" l="1"/>
  <c r="P45" i="11"/>
  <c r="P46" i="11"/>
  <c r="X93" i="11"/>
  <c r="X96" i="11" s="1"/>
  <c r="X61" i="11"/>
  <c r="X63" i="11"/>
  <c r="X62" i="11"/>
  <c r="W65" i="11"/>
  <c r="W96" i="11"/>
  <c r="O67" i="11"/>
  <c r="O69" i="11" s="1"/>
  <c r="O100" i="11"/>
  <c r="Q38" i="11"/>
  <c r="P40" i="11"/>
  <c r="P39" i="11"/>
  <c r="Z9" i="6"/>
  <c r="Y9" i="11"/>
  <c r="Q6" i="11"/>
  <c r="Q7" i="6"/>
  <c r="P47" i="11" l="1"/>
  <c r="P98" i="11" s="1"/>
  <c r="Y93" i="11"/>
  <c r="Y96" i="11" s="1"/>
  <c r="Y61" i="11"/>
  <c r="Y63" i="11"/>
  <c r="Y62" i="11"/>
  <c r="X65" i="11"/>
  <c r="P41" i="11"/>
  <c r="Z9" i="11"/>
  <c r="AA9" i="6"/>
  <c r="Q5" i="6"/>
  <c r="Q5" i="11" s="1"/>
  <c r="Q8" i="6"/>
  <c r="Q8" i="11" s="1"/>
  <c r="Q7" i="11"/>
  <c r="R6" i="6"/>
  <c r="Q45" i="11" l="1"/>
  <c r="R44" i="11"/>
  <c r="Q46" i="11"/>
  <c r="Z63" i="11"/>
  <c r="Z61" i="11"/>
  <c r="Z93" i="11"/>
  <c r="Z62" i="11"/>
  <c r="Y65" i="11"/>
  <c r="P67" i="11"/>
  <c r="P69" i="11" s="1"/>
  <c r="P100" i="11"/>
  <c r="Q39" i="11"/>
  <c r="Q40" i="11"/>
  <c r="R38" i="11"/>
  <c r="AA9" i="11"/>
  <c r="AB9" i="6"/>
  <c r="R6" i="11"/>
  <c r="R7" i="6"/>
  <c r="Q47" i="11" l="1"/>
  <c r="Q98" i="11" s="1"/>
  <c r="Z96" i="11"/>
  <c r="AA93" i="11"/>
  <c r="AA63" i="11"/>
  <c r="AA61" i="11"/>
  <c r="AA62" i="11"/>
  <c r="Z65" i="11"/>
  <c r="Q41" i="11"/>
  <c r="AB9" i="11"/>
  <c r="AC9" i="6"/>
  <c r="AC9" i="11" s="1"/>
  <c r="R8" i="6"/>
  <c r="R8" i="11" s="1"/>
  <c r="R5" i="6"/>
  <c r="R5" i="11" s="1"/>
  <c r="R7" i="11"/>
  <c r="S6" i="6"/>
  <c r="R46" i="11" l="1"/>
  <c r="S44" i="11"/>
  <c r="R45" i="11"/>
  <c r="AB63" i="11"/>
  <c r="AB62" i="11"/>
  <c r="AB61" i="11"/>
  <c r="AB93" i="11"/>
  <c r="AB96" i="11" s="1"/>
  <c r="AA65" i="11"/>
  <c r="AC61" i="11"/>
  <c r="AC62" i="11"/>
  <c r="AC63" i="11" s="1"/>
  <c r="AC93" i="11"/>
  <c r="AA96" i="11"/>
  <c r="Q67" i="11"/>
  <c r="Q69" i="11" s="1"/>
  <c r="Q100" i="11"/>
  <c r="R39" i="11"/>
  <c r="R40" i="11"/>
  <c r="S38" i="11"/>
  <c r="S7" i="6"/>
  <c r="S6" i="11"/>
  <c r="R47" i="11" l="1"/>
  <c r="R98" i="11" s="1"/>
  <c r="AB65" i="11"/>
  <c r="AC96" i="11"/>
  <c r="AC65" i="11"/>
  <c r="R41" i="11"/>
  <c r="S7" i="11"/>
  <c r="S8" i="6"/>
  <c r="S8" i="11" s="1"/>
  <c r="S5" i="6"/>
  <c r="S5" i="11" s="1"/>
  <c r="T6" i="6"/>
  <c r="T44" i="11" l="1"/>
  <c r="S46" i="11"/>
  <c r="S45" i="11"/>
  <c r="R67" i="11"/>
  <c r="R69" i="11" s="1"/>
  <c r="R100" i="11"/>
  <c r="T38" i="11"/>
  <c r="S39" i="11"/>
  <c r="S40" i="11"/>
  <c r="T7" i="6"/>
  <c r="T6" i="11"/>
  <c r="S47" i="11" l="1"/>
  <c r="S98" i="11" s="1"/>
  <c r="S41" i="11"/>
  <c r="T8" i="6"/>
  <c r="T8" i="11" s="1"/>
  <c r="T5" i="6"/>
  <c r="T5" i="11" s="1"/>
  <c r="T7" i="11"/>
  <c r="U6" i="6"/>
  <c r="T46" i="11" l="1"/>
  <c r="U44" i="11"/>
  <c r="T45" i="11"/>
  <c r="S67" i="11"/>
  <c r="S69" i="11" s="1"/>
  <c r="S100" i="11"/>
  <c r="U38" i="11"/>
  <c r="T40" i="11"/>
  <c r="T39" i="11"/>
  <c r="U7" i="6"/>
  <c r="U6" i="11"/>
  <c r="T47" i="11" l="1"/>
  <c r="T98" i="11" s="1"/>
  <c r="T41" i="11"/>
  <c r="U8" i="6"/>
  <c r="U8" i="11" s="1"/>
  <c r="U5" i="6"/>
  <c r="U5" i="11" s="1"/>
  <c r="U7" i="11"/>
  <c r="V6" i="6"/>
  <c r="V44" i="11" l="1"/>
  <c r="U46" i="11"/>
  <c r="U47" i="11" s="1"/>
  <c r="U45" i="11"/>
  <c r="T67" i="11"/>
  <c r="T69" i="11" s="1"/>
  <c r="T100" i="11"/>
  <c r="U40" i="11"/>
  <c r="V38" i="11"/>
  <c r="U39" i="11"/>
  <c r="V6" i="11"/>
  <c r="V7" i="6"/>
  <c r="U98" i="11" l="1"/>
  <c r="U41" i="11"/>
  <c r="V7" i="11"/>
  <c r="V8" i="6"/>
  <c r="V8" i="11" s="1"/>
  <c r="V5" i="6"/>
  <c r="V5" i="11" s="1"/>
  <c r="W6" i="6"/>
  <c r="W44" i="11" l="1"/>
  <c r="V46" i="11"/>
  <c r="V45" i="11"/>
  <c r="U67" i="11"/>
  <c r="U69" i="11" s="1"/>
  <c r="U100" i="11"/>
  <c r="W38" i="11"/>
  <c r="V40" i="11"/>
  <c r="V39" i="11"/>
  <c r="W6" i="11"/>
  <c r="W7" i="6"/>
  <c r="V47" i="11" l="1"/>
  <c r="V98" i="11" s="1"/>
  <c r="V41" i="11"/>
  <c r="W7" i="11"/>
  <c r="W8" i="6"/>
  <c r="W8" i="11" s="1"/>
  <c r="W5" i="6"/>
  <c r="W5" i="11" s="1"/>
  <c r="X6" i="6"/>
  <c r="X44" i="11" l="1"/>
  <c r="W46" i="11"/>
  <c r="W45" i="11"/>
  <c r="V67" i="11"/>
  <c r="V69" i="11" s="1"/>
  <c r="V100" i="11"/>
  <c r="W40" i="11"/>
  <c r="X38" i="11"/>
  <c r="W39" i="11"/>
  <c r="X7" i="6"/>
  <c r="X6" i="11"/>
  <c r="W47" i="11" l="1"/>
  <c r="W98" i="11" s="1"/>
  <c r="W41" i="11"/>
  <c r="X7" i="11"/>
  <c r="X8" i="6"/>
  <c r="X8" i="11" s="1"/>
  <c r="X5" i="6"/>
  <c r="X5" i="11" s="1"/>
  <c r="Y6" i="6"/>
  <c r="Y44" i="11" l="1"/>
  <c r="X46" i="11"/>
  <c r="X45" i="11"/>
  <c r="W67" i="11"/>
  <c r="W69" i="11" s="1"/>
  <c r="W100" i="11"/>
  <c r="X40" i="11"/>
  <c r="Y38" i="11"/>
  <c r="X39" i="11"/>
  <c r="Y6" i="11"/>
  <c r="Y7" i="6"/>
  <c r="Z6" i="6" s="1"/>
  <c r="X47" i="11" l="1"/>
  <c r="X98" i="11" s="1"/>
  <c r="X41" i="11"/>
  <c r="Z7" i="6"/>
  <c r="Z6" i="11"/>
  <c r="Y8" i="6"/>
  <c r="Y8" i="11" s="1"/>
  <c r="Y7" i="11"/>
  <c r="Y5" i="6"/>
  <c r="Y5" i="11" s="1"/>
  <c r="Z44" i="11" l="1"/>
  <c r="Y46" i="11"/>
  <c r="Y45" i="11"/>
  <c r="X67" i="11"/>
  <c r="X69" i="11" s="1"/>
  <c r="X100" i="11"/>
  <c r="Z38" i="11"/>
  <c r="Y40" i="11"/>
  <c r="Y39" i="11"/>
  <c r="Z8" i="6"/>
  <c r="Z8" i="11" s="1"/>
  <c r="Z5" i="6"/>
  <c r="Z5" i="11" s="1"/>
  <c r="Z7" i="11"/>
  <c r="AA6" i="6"/>
  <c r="Y47" i="11" l="1"/>
  <c r="Y98" i="11" s="1"/>
  <c r="AA44" i="11"/>
  <c r="Z46" i="11"/>
  <c r="Z45" i="11"/>
  <c r="Z39" i="11"/>
  <c r="Y41" i="11"/>
  <c r="AA38" i="11"/>
  <c r="Z40" i="11"/>
  <c r="AA7" i="6"/>
  <c r="AA7" i="11" s="1"/>
  <c r="AA6" i="11"/>
  <c r="Z47" i="11" l="1"/>
  <c r="Z98" i="11" s="1"/>
  <c r="Y67" i="11"/>
  <c r="Y69" i="11" s="1"/>
  <c r="Y100" i="11"/>
  <c r="Z41" i="11"/>
  <c r="AA5" i="6"/>
  <c r="AA5" i="11" s="1"/>
  <c r="AB6" i="6"/>
  <c r="AA8" i="6"/>
  <c r="AA8" i="11" s="1"/>
  <c r="AA46" i="11" l="1"/>
  <c r="AB44" i="11"/>
  <c r="AA45" i="11"/>
  <c r="Z67" i="11"/>
  <c r="Z69" i="11" s="1"/>
  <c r="Z100" i="11"/>
  <c r="AA40" i="11"/>
  <c r="AB38" i="11"/>
  <c r="AA39" i="11"/>
  <c r="AB7" i="6"/>
  <c r="AB6" i="11"/>
  <c r="AA47" i="11" l="1"/>
  <c r="AA98" i="11" s="1"/>
  <c r="AA41" i="11"/>
  <c r="AC6" i="6"/>
  <c r="AB7" i="11"/>
  <c r="AB8" i="6"/>
  <c r="AB8" i="11" s="1"/>
  <c r="AB5" i="6"/>
  <c r="AB5" i="11" s="1"/>
  <c r="AC44" i="11" l="1"/>
  <c r="AB46" i="11"/>
  <c r="AB45" i="11"/>
  <c r="AA67" i="11"/>
  <c r="AA69" i="11" s="1"/>
  <c r="AA100" i="11"/>
  <c r="AB40" i="11"/>
  <c r="AC38" i="11"/>
  <c r="AB39" i="11"/>
  <c r="AC7" i="6"/>
  <c r="AC6" i="11"/>
  <c r="AB47" i="11" l="1"/>
  <c r="AB98" i="11" s="1"/>
  <c r="AB41" i="11"/>
  <c r="AC7" i="11"/>
  <c r="AC5" i="6"/>
  <c r="AC5" i="11" s="1"/>
  <c r="AC8" i="6"/>
  <c r="AC8" i="11" s="1"/>
  <c r="AC46" i="11" l="1"/>
  <c r="AC45" i="11"/>
  <c r="AB67" i="11"/>
  <c r="AB69" i="11" s="1"/>
  <c r="AB100" i="11"/>
  <c r="AC40" i="11"/>
  <c r="AC39" i="11"/>
  <c r="AC47" i="11" l="1"/>
  <c r="AC98" i="11" s="1"/>
  <c r="AC41" i="11"/>
  <c r="AC67" i="11" l="1"/>
  <c r="AC69" i="11" s="1"/>
  <c r="I71" i="11" s="1"/>
  <c r="AC100" i="11"/>
  <c r="I102" i="11" s="1"/>
  <c r="G104" i="11" s="1"/>
  <c r="I14" i="5" s="1"/>
  <c r="G102" i="11" l="1"/>
  <c r="I12" i="5" s="1"/>
  <c r="G73" i="11"/>
  <c r="I13" i="5" s="1"/>
  <c r="I17" i="5" l="1"/>
  <c r="I4" i="2" l="1"/>
  <c r="I4" i="4"/>
  <c r="G4" i="3"/>
  <c r="F4" i="6"/>
  <c r="I4" i="12"/>
  <c r="F4" i="5"/>
</calcChain>
</file>

<file path=xl/sharedStrings.xml><?xml version="1.0" encoding="utf-8"?>
<sst xmlns="http://schemas.openxmlformats.org/spreadsheetml/2006/main" count="207" uniqueCount="143">
  <si>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</si>
  <si>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</si>
  <si>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</si>
  <si>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</si>
  <si>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</si>
  <si>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</si>
  <si>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</si>
  <si>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</si>
  <si>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</si>
  <si>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</si>
  <si>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</si>
  <si>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</si>
  <si>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</si>
  <si>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</si>
  <si>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</si>
  <si>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</si>
  <si>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</si>
  <si>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</si>
  <si>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</si>
  <si>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</si>
  <si>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</si>
  <si>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</si>
  <si>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</si>
  <si>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</si>
  <si>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</si>
  <si>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</si>
  <si>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</si>
  <si>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</si>
  <si>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</si>
  <si>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</si>
  <si>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</si>
  <si>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</si>
  <si>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</si>
  <si>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</si>
  <si>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</si>
  <si>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</si>
  <si>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</si>
  <si>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</si>
  <si>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</si>
  <si>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</si>
  <si>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</si>
  <si>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</si>
  <si>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</si>
  <si>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</si>
  <si>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</si>
  <si>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</si>
  <si>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</si>
  <si>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</si>
  <si>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</si>
  <si>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</si>
  <si>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</si>
  <si>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</si>
  <si>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</si>
  <si>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</si>
  <si>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</si>
  <si>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</si>
  <si>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</si>
  <si>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</si>
  <si>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</si>
  <si>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</si>
  <si>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</si>
  <si>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</si>
  <si>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</si>
  <si>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</si>
  <si>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</si>
  <si>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</si>
  <si>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</si>
  <si>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</si>
  <si>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</si>
  <si>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</si>
  <si>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</si>
  <si>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</si>
  <si>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</si>
  <si>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</si>
  <si>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</si>
  <si>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</si>
  <si>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</si>
  <si>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</si>
  <si>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</si>
  <si>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</si>
  <si>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</si>
  <si>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</si>
  <si>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Summary</t>
  </si>
  <si>
    <t>SumProduct Pty Limited</t>
  </si>
  <si>
    <t>Key Assumptions</t>
  </si>
  <si>
    <t>Financing Assumptions</t>
  </si>
  <si>
    <t>Pre-Tax Cost of Debt</t>
  </si>
  <si>
    <t>Post-Tax Cost of Equity</t>
  </si>
  <si>
    <t>Tax Rate</t>
  </si>
  <si>
    <t>Cash Flow Assumptions</t>
  </si>
  <si>
    <t>Proportion of Debt</t>
  </si>
  <si>
    <t>%</t>
  </si>
  <si>
    <t>Post Tax WACC</t>
  </si>
  <si>
    <t>Number of Periods</t>
  </si>
  <si>
    <t>#</t>
  </si>
  <si>
    <t>Tax Delay</t>
  </si>
  <si>
    <t># Periods</t>
  </si>
  <si>
    <t>Timing of Cash Flows</t>
  </si>
  <si>
    <t>Lookup Data</t>
  </si>
  <si>
    <t>LU_Timing</t>
  </si>
  <si>
    <t>Start</t>
  </si>
  <si>
    <t>Middle</t>
  </si>
  <si>
    <t>End</t>
  </si>
  <si>
    <t>Yes or No</t>
  </si>
  <si>
    <t>LU_Yes_No</t>
  </si>
  <si>
    <t>Yes</t>
  </si>
  <si>
    <t>No</t>
  </si>
  <si>
    <t>Terminal Value</t>
  </si>
  <si>
    <t>[1,0]</t>
  </si>
  <si>
    <t>PreTax_Cost_of_Debt</t>
  </si>
  <si>
    <t>PostTax_Cost_of_Equity</t>
  </si>
  <si>
    <t>Tax_Rate</t>
  </si>
  <si>
    <t>Proportion_of_Debt</t>
  </si>
  <si>
    <t>Post_Tax_WACC</t>
  </si>
  <si>
    <t>Terminal_Value_Switch</t>
  </si>
  <si>
    <t>Number_of_Periods</t>
  </si>
  <si>
    <t>Tax_Delay</t>
  </si>
  <si>
    <t>Timing_of_CashFlows</t>
  </si>
  <si>
    <t>Pre-Tax Cash Flows</t>
  </si>
  <si>
    <t>$'000</t>
  </si>
  <si>
    <t>Post-Tax Discount Rates</t>
  </si>
  <si>
    <t>Pre-Tax Discount Rates</t>
  </si>
  <si>
    <t>Post-Tax NPV</t>
  </si>
  <si>
    <t>Calculation</t>
  </si>
  <si>
    <t>Post-Tax</t>
  </si>
  <si>
    <t>Tax</t>
  </si>
  <si>
    <t>Total (Undiscounted)</t>
  </si>
  <si>
    <t>Discount Factor</t>
  </si>
  <si>
    <t>Present Value(s)</t>
  </si>
  <si>
    <t>NPV</t>
  </si>
  <si>
    <t>Pre-Tax NPV</t>
  </si>
  <si>
    <t>Pre-Tax</t>
  </si>
  <si>
    <t>Calculating Pre-Tax Cost of Equity</t>
  </si>
  <si>
    <t>Pre-Tax Cost of Equity</t>
  </si>
  <si>
    <t>Difference</t>
  </si>
  <si>
    <t>NPVs reconcile</t>
  </si>
  <si>
    <t>TV Tolerance</t>
  </si>
  <si>
    <t>Post-Tax TV within tolerance</t>
  </si>
  <si>
    <t>Pre-Tax TV within tolerance</t>
  </si>
  <si>
    <t>Text</t>
  </si>
  <si>
    <t>Pre-Tax Cost of Equity Example</t>
  </si>
  <si>
    <t>Example to show how the Pre-Tax Cost of Equity may be solved.</t>
  </si>
  <si>
    <t>Pre-Tax WACC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</si>
</sst>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  <numFmt numFmtId="180" formatCode="0.000"/>
  </numFmts>
  <fonts count="37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i/>
      <sz val="9"/>
      <color theme="0" tint="-0.499984740745262"/>
      <name val="Calibri"/>
      <family val="2"/>
      <scheme val="minor"/>
    </font>
    <font>
      <sz val="9"/>
      <color theme="3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0"/>
      <color theme="0"/>
      <name val="Wingdings"/>
      <charset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Protection="0"/>
    <xf numFmtId="0" fontId="26" fillId="0" borderId="0" applyNumberFormat="0" applyFill="0" applyBorder="0">
      <alignment horizontal="left"/>
      <protection locked="0"/>
    </xf>
    <xf numFmtId="0" fontId="14" fillId="0" borderId="0" applyNumberFormat="0" applyFill="0" applyBorder="0" applyProtection="0"/>
    <xf numFmtId="0" fontId="15" fillId="3" borderId="1" applyNumberForma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27" fillId="0" borderId="3" applyNumberFormat="0" applyAlignment="0">
      <alignment horizontal="center"/>
    </xf>
    <xf numFmtId="0" fontId="24" fillId="4" borderId="4" applyNumberFormat="0" applyAlignment="0">
      <protection locked="0"/>
    </xf>
    <xf numFmtId="0" fontId="3" fillId="0" borderId="0" applyNumberFormat="0" applyFill="0" applyBorder="0"/>
    <xf numFmtId="179" fontId="22" fillId="0" borderId="0" applyFill="0" applyBorder="0" applyProtection="0">
      <alignment horizontal="center"/>
    </xf>
    <xf numFmtId="178" fontId="23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7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1" fillId="0" borderId="8" applyNumberFormat="0" applyFill="0" applyBorder="0"/>
    <xf numFmtId="168" fontId="1" fillId="0" borderId="0" applyFont="0" applyFill="0" applyBorder="0" applyAlignment="0" applyProtection="0"/>
    <xf numFmtId="0" fontId="27" fillId="7" borderId="2" applyNumberFormat="0" applyAlignment="0" applyProtection="0"/>
    <xf numFmtId="0" fontId="32" fillId="0" borderId="0" applyNumberFormat="0" applyFill="0" applyBorder="0" applyAlignment="0" applyProtection="0"/>
    <xf numFmtId="169" fontId="7" fillId="0" borderId="0" applyFill="0" applyBorder="0">
      <alignment horizontal="right" vertical="center"/>
    </xf>
    <xf numFmtId="170" fontId="7" fillId="0" borderId="0" applyFill="0" applyBorder="0">
      <alignment horizontal="right" vertical="center"/>
    </xf>
    <xf numFmtId="171" fontId="28" fillId="7" borderId="4">
      <alignment horizontal="center"/>
    </xf>
    <xf numFmtId="41" fontId="5" fillId="8" borderId="5" applyFont="0" applyAlignment="0"/>
    <xf numFmtId="0" fontId="12" fillId="11" borderId="0" applyNumberFormat="0">
      <alignment horizontal="center"/>
    </xf>
    <xf numFmtId="0" fontId="29" fillId="0" borderId="0" applyNumberFormat="0" applyFill="0" applyBorder="0" applyProtection="0">
      <alignment horizontal="center"/>
    </xf>
    <xf numFmtId="0" fontId="30" fillId="9" borderId="9" applyNumberFormat="0" applyAlignment="0">
      <protection locked="0"/>
    </xf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0" applyNumberFormat="0" applyFill="0" applyAlignment="0" applyProtection="0"/>
    <xf numFmtId="0" fontId="18" fillId="0" borderId="11" applyNumberFormat="0" applyFill="0" applyAlignment="0" applyProtection="0"/>
    <xf numFmtId="0" fontId="17" fillId="0" borderId="12" applyNumberFormat="0" applyFill="0" applyAlignment="0" applyProtection="0"/>
    <xf numFmtId="172" fontId="15" fillId="3" borderId="1"/>
  </cellStyleXfs>
  <cellXfs count="94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5" fillId="3" borderId="1" xfId="10"/>
    <xf numFmtId="0" fontId="16" fillId="0" borderId="0" xfId="11" applyBorder="1"/>
    <xf numFmtId="0" fontId="17" fillId="0" borderId="0" xfId="12"/>
    <xf numFmtId="0" fontId="27" fillId="0" borderId="3" xfId="13" applyAlignment="1">
      <alignment horizontal="center"/>
    </xf>
    <xf numFmtId="166" fontId="27" fillId="0" borderId="3" xfId="13" applyNumberFormat="1" applyAlignment="1">
      <alignment horizontal="center"/>
    </xf>
    <xf numFmtId="0" fontId="8" fillId="0" borderId="0" xfId="0" applyFont="1"/>
    <xf numFmtId="0" fontId="9" fillId="0" borderId="0" xfId="12" applyFont="1" applyAlignment="1">
      <alignment horizontal="left" vertical="center"/>
    </xf>
    <xf numFmtId="0" fontId="10" fillId="0" borderId="0" xfId="0" applyFont="1"/>
    <xf numFmtId="0" fontId="10" fillId="0" borderId="0" xfId="6" applyFont="1" applyAlignment="1">
      <alignment horizontal="left" vertical="center"/>
    </xf>
    <xf numFmtId="0" fontId="26" fillId="0" borderId="0" xfId="8">
      <alignment horizontal="left"/>
      <protection locked="0"/>
    </xf>
    <xf numFmtId="0" fontId="26" fillId="0" borderId="0" xfId="8" applyAlignment="1">
      <alignment horizontal="right"/>
      <protection locked="0"/>
    </xf>
    <xf numFmtId="0" fontId="12" fillId="11" borderId="0" xfId="33">
      <alignment horizontal="center"/>
    </xf>
    <xf numFmtId="0" fontId="0" fillId="0" borderId="0" xfId="0" applyBorder="1"/>
    <xf numFmtId="0" fontId="13" fillId="0" borderId="0" xfId="7" applyBorder="1"/>
    <xf numFmtId="0" fontId="0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9" applyBorder="1"/>
    <xf numFmtId="0" fontId="0" fillId="0" borderId="0" xfId="0" applyBorder="1" applyAlignment="1">
      <alignment horizontal="left"/>
    </xf>
    <xf numFmtId="0" fontId="17" fillId="0" borderId="0" xfId="12" applyBorder="1"/>
    <xf numFmtId="0" fontId="18" fillId="0" borderId="0" xfId="6" applyBorder="1"/>
    <xf numFmtId="0" fontId="31" fillId="0" borderId="0" xfId="25" applyBorder="1"/>
    <xf numFmtId="0" fontId="12" fillId="11" borderId="0" xfId="33" applyBorder="1">
      <alignment horizontal="center"/>
    </xf>
    <xf numFmtId="0" fontId="24" fillId="4" borderId="4" xfId="14">
      <protection locked="0"/>
    </xf>
    <xf numFmtId="0" fontId="11" fillId="0" borderId="0" xfId="0" applyFont="1" applyBorder="1"/>
    <xf numFmtId="0" fontId="27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7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7" fillId="7" borderId="2" xfId="27"/>
    <xf numFmtId="0" fontId="32" fillId="0" borderId="0" xfId="28"/>
    <xf numFmtId="171" fontId="28" fillId="7" borderId="4" xfId="31">
      <alignment horizontal="center"/>
    </xf>
    <xf numFmtId="41" fontId="0" fillId="8" borderId="5" xfId="32" applyFont="1"/>
    <xf numFmtId="0" fontId="29" fillId="0" borderId="0" xfId="34">
      <alignment horizontal="center"/>
    </xf>
    <xf numFmtId="0" fontId="30" fillId="9" borderId="9" xfId="35">
      <protection locked="0"/>
    </xf>
    <xf numFmtId="41" fontId="0" fillId="0" borderId="0" xfId="2" applyFont="1"/>
    <xf numFmtId="168" fontId="0" fillId="0" borderId="0" xfId="26" applyFont="1"/>
    <xf numFmtId="9" fontId="0" fillId="0" borderId="0" xfId="5" applyFont="1"/>
    <xf numFmtId="0" fontId="0" fillId="0" borderId="0" xfId="0"/>
    <xf numFmtId="179" fontId="22" fillId="0" borderId="0" xfId="16">
      <alignment horizontal="center"/>
    </xf>
    <xf numFmtId="178" fontId="23" fillId="0" borderId="0" xfId="17">
      <alignment horizontal="center"/>
    </xf>
    <xf numFmtId="0" fontId="3" fillId="0" borderId="0" xfId="15"/>
    <xf numFmtId="164" fontId="15" fillId="3" borderId="1" xfId="10" applyNumberFormat="1" applyProtection="1">
      <protection locked="0"/>
    </xf>
    <xf numFmtId="165" fontId="15" fillId="3" borderId="1" xfId="10" applyNumberFormat="1"/>
    <xf numFmtId="0" fontId="0" fillId="0" borderId="0" xfId="0" applyBorder="1"/>
    <xf numFmtId="0" fontId="13" fillId="0" borderId="0" xfId="7"/>
    <xf numFmtId="0" fontId="14" fillId="0" borderId="0" xfId="9"/>
    <xf numFmtId="172" fontId="15" fillId="3" borderId="1" xfId="41"/>
    <xf numFmtId="41" fontId="24" fillId="4" borderId="4" xfId="14" applyNumberFormat="1">
      <protection locked="0"/>
    </xf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2" fillId="0" borderId="0" xfId="16" applyNumberFormat="1" applyBorder="1">
      <alignment horizontal="center"/>
    </xf>
    <xf numFmtId="178" fontId="23" fillId="0" borderId="0" xfId="17" applyNumberFormat="1" applyBorder="1">
      <alignment horizontal="center"/>
    </xf>
    <xf numFmtId="177" fontId="27" fillId="0" borderId="3" xfId="13" applyNumberFormat="1">
      <alignment horizontal="center"/>
    </xf>
    <xf numFmtId="41" fontId="25" fillId="0" borderId="3" xfId="2" applyFont="1" applyBorder="1" applyAlignment="1"/>
    <xf numFmtId="0" fontId="26" fillId="0" borderId="0" xfId="8">
      <alignment horizontal="left"/>
      <protection locked="0"/>
    </xf>
    <xf numFmtId="0" fontId="26" fillId="0" borderId="0" xfId="8">
      <alignment horizontal="left"/>
      <protection locked="0"/>
    </xf>
    <xf numFmtId="0" fontId="0" fillId="0" borderId="0" xfId="0"/>
    <xf numFmtId="0" fontId="12" fillId="11" borderId="0" xfId="33">
      <alignment horizontal="center"/>
    </xf>
    <xf numFmtId="9" fontId="24" fillId="4" borderId="4" xfId="14" applyNumberFormat="1" applyAlignment="1">
      <alignment horizontal="center"/>
      <protection locked="0"/>
    </xf>
    <xf numFmtId="0" fontId="23" fillId="0" borderId="0" xfId="0" applyFont="1"/>
    <xf numFmtId="10" fontId="23" fillId="0" borderId="6" xfId="22" applyNumberFormat="1" applyFont="1" applyAlignment="1">
      <alignment horizontal="center"/>
    </xf>
    <xf numFmtId="0" fontId="29" fillId="0" borderId="0" xfId="34" quotePrefix="1">
      <alignment horizontal="center"/>
    </xf>
    <xf numFmtId="0" fontId="24" fillId="4" borderId="4" xfId="14" applyAlignment="1">
      <alignment horizontal="center"/>
      <protection locked="0"/>
    </xf>
    <xf numFmtId="0" fontId="0" fillId="0" borderId="0" xfId="0" quotePrefix="1"/>
    <xf numFmtId="0" fontId="29" fillId="0" borderId="0" xfId="34" applyFill="1" applyBorder="1">
      <alignment horizontal="center"/>
    </xf>
    <xf numFmtId="9" fontId="32" fillId="0" borderId="0" xfId="28" applyNumberFormat="1"/>
    <xf numFmtId="168" fontId="33" fillId="0" borderId="0" xfId="26" applyFont="1"/>
    <xf numFmtId="180" fontId="0" fillId="0" borderId="0" xfId="0" applyNumberFormat="1"/>
    <xf numFmtId="180" fontId="23" fillId="0" borderId="6" xfId="22" applyNumberFormat="1" applyFont="1"/>
    <xf numFmtId="168" fontId="23" fillId="0" borderId="6" xfId="22" applyNumberFormat="1" applyFont="1"/>
    <xf numFmtId="168" fontId="34" fillId="7" borderId="13" xfId="27" applyNumberFormat="1" applyFont="1" applyBorder="1"/>
    <xf numFmtId="168" fontId="23" fillId="0" borderId="7" xfId="23" applyNumberFormat="1" applyFont="1"/>
    <xf numFmtId="180" fontId="35" fillId="0" borderId="0" xfId="0" applyNumberFormat="1" applyFont="1"/>
    <xf numFmtId="9" fontId="27" fillId="7" borderId="2" xfId="27" applyNumberFormat="1" applyAlignment="1" applyProtection="1">
      <alignment horizontal="center"/>
      <protection locked="0"/>
    </xf>
    <xf numFmtId="164" fontId="36" fillId="10" borderId="2" xfId="0" applyNumberFormat="1" applyFont="1" applyFill="1" applyBorder="1" applyAlignment="1" applyProtection="1">
      <alignment horizontal="center"/>
      <protection locked="0"/>
    </xf>
    <xf numFmtId="10" fontId="34" fillId="7" borderId="2" xfId="27" applyNumberFormat="1" applyFont="1" applyAlignment="1" applyProtection="1">
      <alignment horizontal="center"/>
      <protection locked="0"/>
    </xf>
    <xf numFmtId="10" fontId="27" fillId="7" borderId="2" xfId="27" applyNumberFormat="1" applyAlignment="1" applyProtection="1">
      <alignment horizontal="center"/>
      <protection locked="0"/>
    </xf>
    <xf numFmtId="0" fontId="26" fillId="0" borderId="0" xfId="8">
      <alignment horizontal="left"/>
      <protection locked="0"/>
    </xf>
    <xf numFmtId="0" fontId="26" fillId="0" borderId="0" xfId="8">
      <alignment horizontal="left"/>
      <protection locked="0"/>
    </xf>
    <xf numFmtId="0" fontId="10" fillId="0" borderId="0" xfId="6" applyFont="1" applyAlignment="1">
      <alignment horizontal="left" vertical="center"/>
    </xf>
    <xf numFmtId="0" fontId="26" fillId="0" borderId="0" xfId="8">
      <alignment horizontal="left"/>
      <protection locked="0"/>
    </xf>
    <xf numFmtId="0" fontId="0" fillId="0" borderId="0" xfId="0" applyBorder="1"/>
    <xf numFmtId="0" fontId="12" fillId="11" borderId="0" xfId="33">
      <alignment horizontal="center"/>
    </xf>
    <xf numFmtId="0" fontId="0" fillId="0" borderId="0" xfId="0"/>
    <xf numFmtId="0" fontId="12" fillId="11" borderId="0" xfId="33" applyBorder="1">
      <alignment horizontal="center"/>
    </xf>
    <xf numFmtId="0" fontId="27" fillId="0" borderId="3" xfId="13" applyAlignment="1">
      <alignment horizontal="left"/>
    </xf>
    <xf numFmtId="0" fontId="24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32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numFmt numFmtId="167" formatCode=";;;"/>
      <fill>
        <patternFill patternType="none">
          <bgColor auto="1"/>
        </patternFill>
      </fill>
      <border>
        <left/>
        <right/>
        <top/>
        <bottom/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7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7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7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7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7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7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7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7" formatCode=";;;"/>
    </dxf>
    <dxf>
      <font>
        <color theme="0"/>
      </font>
      <numFmt numFmtId="167" formatCode=";;;"/>
      <fill>
        <patternFill patternType="none">
          <bgColor auto="1"/>
        </patternFill>
      </fill>
      <border>
        <left/>
        <right/>
        <top/>
        <bottom/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31"/>
      <tableStyleElement type="firstRowStripe" dxfId="30"/>
      <tableStyleElement type="secondRowStripe" dxfId="29"/>
    </tableStyle>
  </tableStyles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61"/>
    </row>
    <row r="3" spans="1:19" x14ac:dyDescent="0.2">
      <c r="A3" s="85" t="s">
        <v>1</v>
      </c>
    </row>
    <row r="5" spans="1:19" ht="20.25" x14ac:dyDescent="0.3">
      <c r="C5" s="49" t="str">
        <f>Client_Name</f>
        <v>SumProduct Pty Limited</v>
      </c>
      <c r="D5" s="8"/>
      <c r="E5" s="8"/>
      <c r="F5" s="8"/>
      <c r="G5" s="8"/>
      <c r="H5" s="8"/>
      <c r="I5" s="8"/>
      <c r="J5" s="8"/>
    </row>
    <row r="6" spans="1:19" ht="18" x14ac:dyDescent="0.25">
      <c r="C6" s="50" t="str">
        <f ca="1">Model_Name</f>
        <v>Chapter 7.3 - SP Calculating the Pre-Tax Cost of Equity.xlsm</v>
      </c>
      <c r="D6" s="8"/>
      <c r="E6" s="8"/>
      <c r="F6" s="8"/>
      <c r="G6" s="8"/>
      <c r="H6" s="8"/>
      <c r="I6" s="8"/>
      <c r="J6" s="8"/>
    </row>
    <row r="7" spans="1:19" ht="12.75" x14ac:dyDescent="0.2">
      <c r="C7" s="8"/>
      <c r="D7" s="8"/>
      <c r="E7" s="8"/>
      <c r="F7" s="8"/>
      <c r="G7" s="8"/>
      <c r="H7" s="8"/>
      <c r="I7" s="8"/>
      <c r="J7" s="8"/>
    </row>
    <row r="8" spans="1:19" ht="12.75" x14ac:dyDescent="0.2">
      <c r="C8" s="8"/>
      <c r="D8" s="8"/>
      <c r="E8" s="8"/>
      <c r="F8" s="8"/>
      <c r="G8" s="8"/>
      <c r="H8" s="8"/>
      <c r="I8" s="8"/>
      <c r="J8" s="8"/>
    </row>
    <row r="9" spans="1:19" ht="12.75" x14ac:dyDescent="0.2">
      <c r="C9" s="8"/>
      <c r="D9" s="8"/>
      <c r="E9" s="8"/>
      <c r="F9" s="8"/>
      <c r="G9" s="8"/>
      <c r="H9" s="8"/>
      <c r="I9" s="8"/>
      <c r="J9" s="8"/>
    </row>
    <row r="10" spans="1:19" ht="12.75" x14ac:dyDescent="0.2">
      <c r="C10" s="8"/>
      <c r="D10" s="8"/>
      <c r="E10" s="8"/>
      <c r="F10" s="8"/>
      <c r="G10" s="8"/>
      <c r="H10" s="8"/>
      <c r="I10" s="8"/>
      <c r="J10" s="8"/>
    </row>
    <row r="11" spans="1:19" ht="15" x14ac:dyDescent="0.25">
      <c r="C11" s="8"/>
      <c r="D11" s="8"/>
      <c r="E11" s="8"/>
      <c r="F11" s="8"/>
      <c r="G11" s="8"/>
      <c r="H11" s="8"/>
      <c r="I11" s="8"/>
      <c r="J11" s="8"/>
      <c r="S11" s="45"/>
    </row>
    <row r="12" spans="1:19" ht="12.75" x14ac:dyDescent="0.2">
      <c r="C12" s="8"/>
      <c r="D12" s="8"/>
      <c r="E12" s="8"/>
      <c r="F12" s="8"/>
      <c r="G12" s="8"/>
      <c r="H12" s="8"/>
      <c r="I12" s="8"/>
      <c r="J12" s="8"/>
    </row>
    <row r="13" spans="1:19" ht="12.75" x14ac:dyDescent="0.2">
      <c r="C13" s="8"/>
      <c r="D13" s="8"/>
      <c r="E13" s="8"/>
      <c r="F13" s="8"/>
      <c r="G13" s="8"/>
      <c r="H13" s="8"/>
      <c r="I13" s="8"/>
      <c r="J13" s="8"/>
    </row>
    <row r="14" spans="1:19" ht="12.75" x14ac:dyDescent="0.2">
      <c r="C14" s="9" t="s">
        <v>19</v>
      </c>
      <c r="D14" s="10"/>
      <c r="E14" s="8"/>
      <c r="F14" s="8"/>
      <c r="G14" s="8"/>
      <c r="H14" s="8"/>
      <c r="I14" s="8"/>
      <c r="J14" s="8"/>
    </row>
    <row r="15" spans="1:19" ht="12.75" x14ac:dyDescent="0.2">
      <c r="C15" s="10"/>
      <c r="D15" s="10"/>
      <c r="E15" s="8"/>
      <c r="F15" s="8"/>
      <c r="G15" s="8"/>
      <c r="H15" s="8"/>
      <c r="I15" s="8"/>
      <c r="J15" s="8"/>
    </row>
    <row r="16" spans="1:19" ht="12.75" x14ac:dyDescent="0.2">
      <c r="C16" s="9" t="s">
        <v>20</v>
      </c>
      <c r="D16" s="10"/>
      <c r="E16" s="8"/>
      <c r="F16" s="8"/>
      <c r="G16" s="8"/>
      <c r="H16" s="8"/>
      <c r="I16" s="8"/>
      <c r="J16" s="8"/>
    </row>
    <row r="17" spans="3:10" ht="12.75" x14ac:dyDescent="0.2">
      <c r="C17" s="86" t="s">
        <v>141</v>
      </c>
      <c r="D17" s="86"/>
      <c r="E17" s="86"/>
      <c r="F17" s="86"/>
      <c r="G17" s="86"/>
      <c r="H17" s="86"/>
      <c r="I17" s="86"/>
      <c r="J17" s="86"/>
    </row>
    <row r="18" spans="3:10" ht="12.75" x14ac:dyDescent="0.2">
      <c r="C18" s="86"/>
      <c r="D18" s="86"/>
      <c r="E18" s="86"/>
      <c r="F18" s="86"/>
      <c r="G18" s="86"/>
      <c r="H18" s="86"/>
      <c r="I18" s="86"/>
      <c r="J18" s="86"/>
    </row>
    <row r="19" spans="3:10" ht="12.75" x14ac:dyDescent="0.2">
      <c r="C19" s="11"/>
      <c r="D19" s="10"/>
      <c r="E19" s="8"/>
      <c r="F19" s="8"/>
      <c r="G19" s="8"/>
      <c r="H19" s="8"/>
      <c r="I19" s="8"/>
      <c r="J19" s="8"/>
    </row>
    <row r="20" spans="3:10" ht="12.75" x14ac:dyDescent="0.2">
      <c r="C20" s="11"/>
      <c r="D20" s="10"/>
      <c r="E20" s="8"/>
      <c r="F20" s="8"/>
      <c r="G20" s="8"/>
      <c r="H20" s="8"/>
      <c r="I20" s="8"/>
      <c r="J20" s="8"/>
    </row>
    <row r="21" spans="3:10" ht="12.75" x14ac:dyDescent="0.2">
      <c r="C21" s="11" t="s">
        <v>21</v>
      </c>
      <c r="D21" s="10"/>
      <c r="E21" s="8"/>
      <c r="F21" s="8"/>
      <c r="G21" s="87" t="s">
        <v>22</v>
      </c>
      <c r="H21" s="87"/>
      <c r="I21" s="87"/>
      <c r="J21" s="8"/>
    </row>
    <row r="22" spans="3:10" ht="12.75" x14ac:dyDescent="0.2">
      <c r="C22" s="11" t="s">
        <v>23</v>
      </c>
      <c r="D22" s="10"/>
      <c r="E22" s="8"/>
      <c r="F22" s="8"/>
      <c r="G22" s="87" t="s">
        <v>24</v>
      </c>
      <c r="H22" s="87"/>
      <c r="I22" s="87"/>
      <c r="J22" s="8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16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24" ht="20.25" x14ac:dyDescent="0.3">
      <c r="A1" s="49" t="s">
        <v>1</v>
      </c>
      <c r="F1" s="13"/>
      <c r="G1" s="13"/>
    </row>
    <row r="2" spans="1:24" ht="18" x14ac:dyDescent="0.25">
      <c r="A2" s="50" t="str">
        <f ca="1">Model_Name</f>
        <v>Chapter 7.3 - SP Calculating the Pre-Tax Cost of Equity.xlsm</v>
      </c>
    </row>
    <row r="3" spans="1:24" x14ac:dyDescent="0.2">
      <c r="A3" s="12" t="s">
        <v>1</v>
      </c>
      <c r="B3" s="12"/>
      <c r="C3" s="12"/>
      <c r="D3" s="12"/>
      <c r="E3" s="12"/>
    </row>
    <row r="4" spans="1:24" ht="14.25" x14ac:dyDescent="0.2">
      <c r="E4" t="s">
        <v>2</v>
      </c>
      <c r="G4" s="29">
        <f ca="1">Overall_Error_Check</f>
        <v>0</v>
      </c>
    </row>
    <row r="7" spans="1:24" ht="16.5" thickBot="1" x14ac:dyDescent="0.3">
      <c r="B7" s="51">
        <v>1</v>
      </c>
      <c r="C7" s="51" t="s">
        <v>25</v>
      </c>
      <c r="D7" s="51"/>
      <c r="E7" s="51"/>
      <c r="F7" s="51"/>
      <c r="G7" s="51"/>
      <c r="H7" s="51"/>
      <c r="I7" s="51"/>
      <c r="J7" s="51"/>
      <c r="K7" s="51"/>
      <c r="L7" s="5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thickTop="1" x14ac:dyDescent="0.2"/>
    <row r="9" spans="1:24" x14ac:dyDescent="0.2">
      <c r="F9" s="85" t="s">
        <v>26</v>
      </c>
    </row>
    <row r="10" spans="1:24" x14ac:dyDescent="0.2">
      <c r="F10" s="85" t="s">
        <v>27</v>
      </c>
    </row>
    <row r="11" spans="1:24" x14ac:dyDescent="0.2">
      <c r="F11" s="85" t="s">
        <v>0</v>
      </c>
    </row>
    <row r="12" spans="1:24" x14ac:dyDescent="0.2">
      <c r="F12" s="85" t="s">
        <v>140</v>
      </c>
    </row>
    <row r="13" spans="1:24" x14ac:dyDescent="0.2">
      <c r="F13" s="85" t="s">
        <v>70</v>
      </c>
    </row>
    <row r="14" spans="1:24" x14ac:dyDescent="0.2">
      <c r="F14" s="85" t="s">
        <v>98</v>
      </c>
    </row>
    <row r="15" spans="1:24" x14ac:dyDescent="0.2">
      <c r="F15" s="85" t="s">
        <v>66</v>
      </c>
    </row>
    <row r="16" spans="1:24" x14ac:dyDescent="0.2">
      <c r="F16" s="84"/>
    </row>
  </sheetData>
  <conditionalFormatting sqref="G4">
    <cfRule type="cellIs" dxfId="28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D049F951-A8A5-4F37-BC88-976D62B5A47B}"/>
    <hyperlink ref="F10" location="HL_3" display="Style Guide" xr:uid="{D5119054-10AA-4179-AF29-9B124ACC28E7}"/>
    <hyperlink ref="F11" location="HL_4" display="Model Parameters" xr:uid="{FCDBC4EA-E82E-47F6-B6FE-A9C747170BE2}"/>
    <hyperlink ref="F12" location="HL_5" display="Pre-Tax Cost of Equity Example" xr:uid="{F1061096-906F-45BB-858F-22A45F2B1F5C}"/>
    <hyperlink ref="F13" location="HL_6" display="Timing" xr:uid="{D06BCF8E-A7C8-4A86-B0BB-A5DB1BD1181A}"/>
    <hyperlink ref="F14" location="HL_7" display="Lookup Data" xr:uid="{CF819887-F331-4997-B6A1-D7041B28DB33}"/>
    <hyperlink ref="F15" location="HL_8" display="Error Checks" xr:uid="{8A6C066F-4412-49D2-ACD7-7B2DDC969596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8" x14ac:dyDescent="0.25">
      <c r="A2" s="50" t="str">
        <f ca="1">Model_Name</f>
        <v>Chapter 7.3 - SP Calculating the Pre-Tax Cost of Equity.xlsm</v>
      </c>
    </row>
    <row r="3" spans="1:13" x14ac:dyDescent="0.2">
      <c r="A3" s="87" t="s">
        <v>1</v>
      </c>
      <c r="B3" s="87"/>
      <c r="C3" s="87"/>
      <c r="D3" s="87"/>
      <c r="E3" s="87"/>
    </row>
    <row r="4" spans="1:13" ht="14.25" x14ac:dyDescent="0.2">
      <c r="E4" t="s">
        <v>2</v>
      </c>
      <c r="I4" s="1">
        <f ca="1">Overall_Error_Check</f>
        <v>0</v>
      </c>
    </row>
    <row r="5" spans="1:13" x14ac:dyDescent="0.2">
      <c r="A5" s="61"/>
    </row>
    <row r="6" spans="1:13" ht="16.5" thickBot="1" x14ac:dyDescent="0.3">
      <c r="B6" s="51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89" t="s">
        <v>29</v>
      </c>
      <c r="D8" s="89"/>
      <c r="E8" s="89"/>
      <c r="F8" s="89"/>
      <c r="G8" s="89"/>
      <c r="H8" s="14"/>
      <c r="I8" s="14" t="s">
        <v>30</v>
      </c>
      <c r="J8" s="14"/>
      <c r="K8" s="14" t="s">
        <v>31</v>
      </c>
    </row>
    <row r="9" spans="1:13" outlineLevel="1" x14ac:dyDescent="0.2">
      <c r="C9" s="88"/>
      <c r="D9" s="88"/>
      <c r="E9" s="88"/>
      <c r="F9" s="88"/>
      <c r="G9" s="88"/>
      <c r="H9" s="48"/>
      <c r="I9" s="48"/>
      <c r="J9" s="17"/>
      <c r="K9" s="20"/>
    </row>
    <row r="10" spans="1:13" ht="20.25" outlineLevel="1" x14ac:dyDescent="0.3">
      <c r="C10" s="88" t="s">
        <v>32</v>
      </c>
      <c r="D10" s="88"/>
      <c r="E10" s="88"/>
      <c r="F10" s="88"/>
      <c r="G10" s="88"/>
      <c r="H10" s="15"/>
      <c r="I10" s="16" t="str">
        <f>C10</f>
        <v>Sheet Title</v>
      </c>
      <c r="J10" s="17"/>
      <c r="K10" s="18" t="s">
        <v>32</v>
      </c>
    </row>
    <row r="11" spans="1:13" ht="18" outlineLevel="1" x14ac:dyDescent="0.25">
      <c r="C11" s="88" t="s">
        <v>5</v>
      </c>
      <c r="D11" s="88"/>
      <c r="E11" s="88"/>
      <c r="F11" s="88"/>
      <c r="G11" s="88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2">
      <c r="C12" s="88"/>
      <c r="D12" s="88"/>
      <c r="E12" s="88"/>
      <c r="F12" s="88"/>
      <c r="G12" s="88"/>
      <c r="H12" s="15"/>
      <c r="I12" s="15"/>
      <c r="J12" s="17"/>
      <c r="K12" s="20"/>
    </row>
    <row r="13" spans="1:13" ht="16.5" outlineLevel="1" thickBot="1" x14ac:dyDescent="0.3">
      <c r="C13" s="88" t="s">
        <v>33</v>
      </c>
      <c r="D13" s="88"/>
      <c r="E13" s="88"/>
      <c r="F13" s="88"/>
      <c r="G13" s="88"/>
      <c r="H13" s="15"/>
      <c r="I13" s="47" t="str">
        <f>C13</f>
        <v>Header 1</v>
      </c>
      <c r="J13" s="17"/>
      <c r="K13" s="18" t="s">
        <v>33</v>
      </c>
    </row>
    <row r="14" spans="1:13" ht="17.25" outlineLevel="1" thickTop="1" x14ac:dyDescent="0.25">
      <c r="C14" s="88" t="s">
        <v>34</v>
      </c>
      <c r="D14" s="88"/>
      <c r="E14" s="88"/>
      <c r="F14" s="88"/>
      <c r="G14" s="88"/>
      <c r="H14" s="15"/>
      <c r="I14" s="4" t="str">
        <f>C14</f>
        <v>Header 2</v>
      </c>
      <c r="J14" s="17"/>
      <c r="K14" s="18" t="s">
        <v>34</v>
      </c>
    </row>
    <row r="15" spans="1:13" ht="15" outlineLevel="1" x14ac:dyDescent="0.25">
      <c r="C15" s="88" t="s">
        <v>35</v>
      </c>
      <c r="D15" s="88"/>
      <c r="E15" s="88"/>
      <c r="F15" s="88"/>
      <c r="G15" s="88"/>
      <c r="H15" s="15"/>
      <c r="I15" s="21" t="str">
        <f>C15</f>
        <v>Header 3</v>
      </c>
      <c r="J15" s="17"/>
      <c r="K15" s="18" t="s">
        <v>35</v>
      </c>
    </row>
    <row r="16" spans="1:13" ht="15" outlineLevel="1" x14ac:dyDescent="0.25">
      <c r="C16" s="88" t="s">
        <v>36</v>
      </c>
      <c r="D16" s="88"/>
      <c r="E16" s="88"/>
      <c r="F16" s="88"/>
      <c r="G16" s="88"/>
      <c r="H16" s="15"/>
      <c r="I16" s="22" t="str">
        <f>C16</f>
        <v>Header 4</v>
      </c>
      <c r="J16" s="17"/>
      <c r="K16" s="18" t="s">
        <v>36</v>
      </c>
    </row>
    <row r="17" spans="2:14" outlineLevel="1" x14ac:dyDescent="0.2">
      <c r="C17" s="88"/>
      <c r="D17" s="88"/>
      <c r="E17" s="88"/>
      <c r="F17" s="88"/>
      <c r="G17" s="88"/>
      <c r="H17" s="15"/>
      <c r="I17" s="15"/>
      <c r="J17" s="17"/>
      <c r="K17" s="20"/>
    </row>
    <row r="18" spans="2:14" ht="15" outlineLevel="1" x14ac:dyDescent="0.25">
      <c r="C18" s="88" t="s">
        <v>37</v>
      </c>
      <c r="D18" s="88"/>
      <c r="E18" s="88"/>
      <c r="F18" s="88"/>
      <c r="G18" s="88"/>
      <c r="H18" s="15"/>
      <c r="I18" s="23" t="str">
        <f>C18</f>
        <v>Notes</v>
      </c>
      <c r="J18" s="17"/>
      <c r="K18" s="18" t="s">
        <v>37</v>
      </c>
    </row>
    <row r="19" spans="2:14" outlineLevel="1" x14ac:dyDescent="0.2">
      <c r="C19" s="88"/>
      <c r="D19" s="88"/>
      <c r="E19" s="88"/>
      <c r="F19" s="88"/>
      <c r="G19" s="88"/>
      <c r="H19" s="15"/>
      <c r="I19" s="15"/>
      <c r="J19" s="17"/>
      <c r="K19" s="20"/>
      <c r="N19" s="23"/>
    </row>
    <row r="20" spans="2:14" ht="15" outlineLevel="1" x14ac:dyDescent="0.25">
      <c r="C20" s="88" t="s">
        <v>38</v>
      </c>
      <c r="D20" s="88"/>
      <c r="E20" s="88"/>
      <c r="F20" s="88"/>
      <c r="G20" s="88"/>
      <c r="H20" s="15"/>
      <c r="I20" s="24" t="str">
        <f>C20</f>
        <v>Table Heading</v>
      </c>
      <c r="J20" s="17"/>
      <c r="K20" s="18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51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91" t="s">
        <v>29</v>
      </c>
      <c r="D25" s="91"/>
      <c r="E25" s="91"/>
      <c r="F25" s="91"/>
      <c r="G25" s="91"/>
      <c r="H25" s="24"/>
      <c r="I25" s="24" t="s">
        <v>30</v>
      </c>
      <c r="J25" s="24"/>
      <c r="K25" s="24" t="s">
        <v>31</v>
      </c>
    </row>
    <row r="26" spans="2:14" ht="15" outlineLevel="1" x14ac:dyDescent="0.25">
      <c r="C26" s="88"/>
      <c r="D26" s="88"/>
      <c r="E26" s="88"/>
      <c r="F26" s="88"/>
      <c r="G26" s="88"/>
      <c r="H26" s="48"/>
      <c r="I26" s="48"/>
      <c r="J26" s="17"/>
      <c r="K26" s="18"/>
    </row>
    <row r="27" spans="2:14" ht="15" outlineLevel="1" x14ac:dyDescent="0.25">
      <c r="C27" s="88" t="s">
        <v>40</v>
      </c>
      <c r="D27" s="88"/>
      <c r="E27" s="88"/>
      <c r="F27" s="88"/>
      <c r="G27" s="88"/>
      <c r="H27" s="15"/>
      <c r="I27" s="25" t="s">
        <v>40</v>
      </c>
      <c r="J27" s="15"/>
      <c r="K27" s="26" t="str">
        <f>C27</f>
        <v>Assumption</v>
      </c>
    </row>
    <row r="28" spans="2:14" ht="15" outlineLevel="1" x14ac:dyDescent="0.25">
      <c r="C28" s="88"/>
      <c r="D28" s="88"/>
      <c r="E28" s="88"/>
      <c r="F28" s="88"/>
      <c r="G28" s="88"/>
      <c r="H28" s="15"/>
      <c r="I28" s="15"/>
      <c r="J28" s="15"/>
      <c r="K28" s="26"/>
    </row>
    <row r="29" spans="2:14" ht="15" outlineLevel="1" x14ac:dyDescent="0.25">
      <c r="C29" s="88" t="s">
        <v>41</v>
      </c>
      <c r="D29" s="88"/>
      <c r="E29" s="88"/>
      <c r="F29" s="88"/>
      <c r="G29" s="88"/>
      <c r="H29" s="15"/>
      <c r="I29" s="27" t="str">
        <f>C29</f>
        <v>Constraint</v>
      </c>
      <c r="J29" s="15"/>
      <c r="K29" s="26" t="str">
        <f>C29</f>
        <v>Constraint</v>
      </c>
    </row>
    <row r="30" spans="2:14" ht="15" outlineLevel="1" x14ac:dyDescent="0.25">
      <c r="C30" s="88"/>
      <c r="D30" s="88"/>
      <c r="E30" s="88"/>
      <c r="F30" s="88"/>
      <c r="G30" s="88"/>
      <c r="H30" s="15"/>
      <c r="I30" s="15"/>
      <c r="J30" s="15"/>
      <c r="K30" s="26"/>
    </row>
    <row r="31" spans="2:14" ht="15" outlineLevel="1" x14ac:dyDescent="0.25">
      <c r="C31" s="90" t="s">
        <v>42</v>
      </c>
      <c r="D31" s="90"/>
      <c r="E31" s="90"/>
      <c r="F31" s="90"/>
      <c r="G31" s="90"/>
      <c r="I31" s="28"/>
      <c r="K31" s="26" t="str">
        <f>C31</f>
        <v>Empty</v>
      </c>
    </row>
    <row r="32" spans="2:14" ht="15" outlineLevel="1" x14ac:dyDescent="0.25">
      <c r="C32" s="90"/>
      <c r="D32" s="90"/>
      <c r="E32" s="90"/>
      <c r="F32" s="90"/>
      <c r="G32" s="90"/>
      <c r="K32" s="26"/>
    </row>
    <row r="33" spans="3:11" ht="15" outlineLevel="1" x14ac:dyDescent="0.25">
      <c r="C33" t="s">
        <v>43</v>
      </c>
      <c r="I33" s="29">
        <v>0</v>
      </c>
      <c r="K33" s="26" t="str">
        <f>C33</f>
        <v>Error Check</v>
      </c>
    </row>
    <row r="34" spans="3:11" ht="15" outlineLevel="1" x14ac:dyDescent="0.25">
      <c r="K34" s="26"/>
    </row>
    <row r="35" spans="3:11" ht="15" outlineLevel="1" x14ac:dyDescent="0.25">
      <c r="C35" s="90" t="s">
        <v>44</v>
      </c>
      <c r="D35" s="90"/>
      <c r="E35" s="90"/>
      <c r="F35" s="90"/>
      <c r="G35" s="90"/>
      <c r="I35" s="12" t="s">
        <v>44</v>
      </c>
      <c r="K35" s="26" t="str">
        <f>C35</f>
        <v>Hyperlink</v>
      </c>
    </row>
    <row r="36" spans="3:11" ht="15" outlineLevel="1" x14ac:dyDescent="0.25">
      <c r="C36" s="90"/>
      <c r="D36" s="90"/>
      <c r="E36" s="90"/>
      <c r="F36" s="90"/>
      <c r="G36" s="90"/>
      <c r="K36" s="26"/>
    </row>
    <row r="37" spans="3:11" ht="15" outlineLevel="1" x14ac:dyDescent="0.25">
      <c r="C37" s="90" t="s">
        <v>45</v>
      </c>
      <c r="D37" s="90"/>
      <c r="E37" s="90"/>
      <c r="F37" s="90"/>
      <c r="G37" s="90"/>
      <c r="I37" s="30" t="str">
        <f>'Error Checks'!E12</f>
        <v>NPVs reconcile</v>
      </c>
      <c r="K37" s="26" t="str">
        <f>C37</f>
        <v>Internal Reference</v>
      </c>
    </row>
    <row r="38" spans="3:11" ht="15" outlineLevel="1" x14ac:dyDescent="0.25">
      <c r="C38" s="90"/>
      <c r="D38" s="90"/>
      <c r="E38" s="90"/>
      <c r="F38" s="90"/>
      <c r="G38" s="90"/>
      <c r="K38" s="26"/>
    </row>
    <row r="39" spans="3:11" ht="15" outlineLevel="1" x14ac:dyDescent="0.25">
      <c r="C39" s="90" t="s">
        <v>46</v>
      </c>
      <c r="D39" s="90"/>
      <c r="E39" s="90"/>
      <c r="F39" s="90"/>
      <c r="G39" s="90"/>
      <c r="I39" s="31">
        <v>77</v>
      </c>
      <c r="K39" s="26" t="s">
        <v>47</v>
      </c>
    </row>
    <row r="40" spans="3:11" ht="15" outlineLevel="1" x14ac:dyDescent="0.25">
      <c r="C40" s="90"/>
      <c r="D40" s="90"/>
      <c r="E40" s="90"/>
      <c r="F40" s="90"/>
      <c r="G40" s="90"/>
      <c r="K40" s="26"/>
    </row>
    <row r="41" spans="3:11" ht="15" outlineLevel="1" x14ac:dyDescent="0.25">
      <c r="C41" s="90" t="s">
        <v>48</v>
      </c>
      <c r="D41" s="90"/>
      <c r="E41" s="90"/>
      <c r="F41" s="90"/>
      <c r="G41" s="90"/>
      <c r="I41" s="32">
        <f>I39</f>
        <v>77</v>
      </c>
      <c r="K41" s="26" t="str">
        <f>C41</f>
        <v>Line Total</v>
      </c>
    </row>
    <row r="42" spans="3:11" ht="15" outlineLevel="1" x14ac:dyDescent="0.25">
      <c r="C42" s="90"/>
      <c r="D42" s="90"/>
      <c r="E42" s="90"/>
      <c r="F42" s="90"/>
      <c r="G42" s="90"/>
      <c r="K42" s="26"/>
    </row>
    <row r="43" spans="3:11" ht="15" outlineLevel="1" x14ac:dyDescent="0.25">
      <c r="C43" s="90" t="s">
        <v>49</v>
      </c>
      <c r="D43" s="90"/>
      <c r="E43" s="90"/>
      <c r="F43" s="90"/>
      <c r="G43" s="90"/>
      <c r="I43" s="33">
        <v>365</v>
      </c>
      <c r="K43" s="26" t="str">
        <f>C43</f>
        <v>Parameter</v>
      </c>
    </row>
    <row r="44" spans="3:11" ht="15" outlineLevel="1" x14ac:dyDescent="0.25">
      <c r="C44" s="90"/>
      <c r="D44" s="90"/>
      <c r="E44" s="90"/>
      <c r="F44" s="90"/>
      <c r="G44" s="90"/>
      <c r="K44" s="26"/>
    </row>
    <row r="45" spans="3:11" ht="15" outlineLevel="1" x14ac:dyDescent="0.25">
      <c r="C45" s="90" t="s">
        <v>50</v>
      </c>
      <c r="D45" s="90"/>
      <c r="E45" s="90"/>
      <c r="F45" s="90"/>
      <c r="G45" s="90"/>
      <c r="I45" s="34" t="s">
        <v>51</v>
      </c>
      <c r="K45" s="26" t="str">
        <f>C45</f>
        <v>Range Name Description</v>
      </c>
    </row>
    <row r="46" spans="3:11" ht="15" outlineLevel="1" x14ac:dyDescent="0.25">
      <c r="C46" s="90"/>
      <c r="D46" s="90"/>
      <c r="E46" s="90"/>
      <c r="F46" s="90"/>
      <c r="G46" s="90"/>
      <c r="K46" s="26"/>
    </row>
    <row r="47" spans="3:11" ht="15" outlineLevel="1" x14ac:dyDescent="0.25">
      <c r="C47" s="90" t="s">
        <v>52</v>
      </c>
      <c r="D47" s="90"/>
      <c r="E47" s="90"/>
      <c r="F47" s="90"/>
      <c r="G47" s="90"/>
      <c r="I47" s="35">
        <f>ROW(C47)</f>
        <v>47</v>
      </c>
      <c r="K47" s="26" t="s">
        <v>53</v>
      </c>
    </row>
    <row r="48" spans="3:11" ht="15" outlineLevel="1" x14ac:dyDescent="0.25">
      <c r="C48" s="90"/>
      <c r="D48" s="90"/>
      <c r="E48" s="90"/>
      <c r="F48" s="90"/>
      <c r="G48" s="90"/>
      <c r="K48" s="26"/>
    </row>
    <row r="49" spans="2:13" ht="15" outlineLevel="1" x14ac:dyDescent="0.25">
      <c r="C49" s="90" t="s">
        <v>54</v>
      </c>
      <c r="D49" s="90"/>
      <c r="E49" s="90"/>
      <c r="F49" s="90"/>
      <c r="G49" s="90"/>
      <c r="I49" s="36">
        <f>I41</f>
        <v>77</v>
      </c>
      <c r="K49" s="26" t="str">
        <f>C49</f>
        <v>Row Summary</v>
      </c>
    </row>
    <row r="50" spans="2:13" ht="15" outlineLevel="1" x14ac:dyDescent="0.25">
      <c r="C50" s="90"/>
      <c r="D50" s="90"/>
      <c r="E50" s="90"/>
      <c r="F50" s="90"/>
      <c r="G50" s="90"/>
      <c r="K50" s="26"/>
    </row>
    <row r="51" spans="2:13" ht="15" outlineLevel="1" x14ac:dyDescent="0.25">
      <c r="C51" s="90" t="s">
        <v>55</v>
      </c>
      <c r="D51" s="90"/>
      <c r="E51" s="90"/>
      <c r="F51" s="90"/>
      <c r="G51" s="90"/>
      <c r="I51" s="37" t="s">
        <v>69</v>
      </c>
      <c r="K51" s="26" t="str">
        <f>C51</f>
        <v>Units</v>
      </c>
    </row>
    <row r="52" spans="2:13" ht="15" outlineLevel="1" x14ac:dyDescent="0.25">
      <c r="C52" s="90"/>
      <c r="D52" s="90"/>
      <c r="E52" s="90"/>
      <c r="F52" s="90"/>
      <c r="G52" s="90"/>
      <c r="K52" s="26"/>
    </row>
    <row r="53" spans="2:13" ht="15" outlineLevel="1" x14ac:dyDescent="0.25">
      <c r="C53" s="90" t="s">
        <v>56</v>
      </c>
      <c r="D53" s="90"/>
      <c r="E53" s="90"/>
      <c r="F53" s="90"/>
      <c r="G53" s="90"/>
      <c r="I53" s="38"/>
      <c r="K53" s="26" t="str">
        <f>C53</f>
        <v>WIP</v>
      </c>
    </row>
    <row r="54" spans="2:13" ht="15" outlineLevel="1" x14ac:dyDescent="0.25">
      <c r="C54" s="90"/>
      <c r="D54" s="90"/>
      <c r="E54" s="90"/>
      <c r="F54" s="90"/>
      <c r="G54" s="90"/>
      <c r="K54" s="26"/>
    </row>
    <row r="55" spans="2:13" outlineLevel="1" x14ac:dyDescent="0.2">
      <c r="C55" s="90"/>
      <c r="D55" s="90"/>
      <c r="E55" s="90"/>
      <c r="F55" s="90"/>
      <c r="G55" s="90"/>
    </row>
    <row r="56" spans="2:13" ht="16.5" thickBot="1" x14ac:dyDescent="0.3">
      <c r="B56" s="51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89" t="s">
        <v>29</v>
      </c>
      <c r="D58" s="89"/>
      <c r="E58" s="89"/>
      <c r="F58" s="89"/>
      <c r="G58" s="89"/>
      <c r="H58" s="14"/>
      <c r="I58" s="14" t="s">
        <v>30</v>
      </c>
      <c r="J58" s="14"/>
      <c r="K58" s="14" t="s">
        <v>31</v>
      </c>
    </row>
    <row r="59" spans="2:13" outlineLevel="1" x14ac:dyDescent="0.2"/>
    <row r="60" spans="2:13" ht="15" outlineLevel="1" x14ac:dyDescent="0.25">
      <c r="C60" s="90" t="s">
        <v>58</v>
      </c>
      <c r="D60" s="90"/>
      <c r="E60" s="90"/>
      <c r="F60" s="90"/>
      <c r="G60" s="90"/>
      <c r="I60" s="54">
        <v>123456.789</v>
      </c>
      <c r="K60" s="26" t="str">
        <f t="shared" ref="K60:K66" si="0">C60</f>
        <v>Comma</v>
      </c>
    </row>
    <row r="61" spans="2:13" ht="15" outlineLevel="1" x14ac:dyDescent="0.25">
      <c r="C61" s="90"/>
      <c r="D61" s="90"/>
      <c r="E61" s="90"/>
      <c r="F61" s="90"/>
      <c r="G61" s="90"/>
      <c r="K61" s="26"/>
    </row>
    <row r="62" spans="2:13" ht="15" outlineLevel="1" x14ac:dyDescent="0.25">
      <c r="C62" s="90" t="s">
        <v>59</v>
      </c>
      <c r="D62" s="90"/>
      <c r="E62" s="90"/>
      <c r="F62" s="90"/>
      <c r="G62" s="90"/>
      <c r="I62" s="53">
        <v>-123456.789</v>
      </c>
      <c r="K62" s="26" t="str">
        <f t="shared" si="0"/>
        <v>Comma [0]</v>
      </c>
    </row>
    <row r="63" spans="2:13" ht="15" outlineLevel="1" x14ac:dyDescent="0.25">
      <c r="C63" s="90"/>
      <c r="D63" s="90"/>
      <c r="E63" s="90"/>
      <c r="F63" s="90"/>
      <c r="G63" s="90"/>
      <c r="K63" s="26"/>
    </row>
    <row r="64" spans="2:13" ht="15" outlineLevel="1" x14ac:dyDescent="0.25">
      <c r="C64" s="90" t="s">
        <v>60</v>
      </c>
      <c r="D64" s="90"/>
      <c r="E64" s="90"/>
      <c r="F64" s="90"/>
      <c r="G64" s="90"/>
      <c r="I64" s="55">
        <v>123456.789</v>
      </c>
      <c r="K64" s="26" t="str">
        <f t="shared" si="0"/>
        <v>Currency</v>
      </c>
    </row>
    <row r="65" spans="3:11" ht="15" outlineLevel="1" x14ac:dyDescent="0.25">
      <c r="C65" s="90"/>
      <c r="D65" s="90"/>
      <c r="E65" s="90"/>
      <c r="F65" s="90"/>
      <c r="G65" s="90"/>
      <c r="K65" s="26"/>
    </row>
    <row r="66" spans="3:11" ht="15" outlineLevel="1" x14ac:dyDescent="0.25">
      <c r="C66" s="90" t="s">
        <v>61</v>
      </c>
      <c r="D66" s="90"/>
      <c r="E66" s="90"/>
      <c r="F66" s="90"/>
      <c r="G66" s="90"/>
      <c r="I66" s="56">
        <v>123456.789</v>
      </c>
      <c r="K66" s="26" t="str">
        <f t="shared" si="0"/>
        <v>Currency [0]</v>
      </c>
    </row>
    <row r="67" spans="3:11" ht="15" outlineLevel="1" x14ac:dyDescent="0.25">
      <c r="C67" s="90"/>
      <c r="D67" s="90"/>
      <c r="E67" s="90"/>
      <c r="F67" s="90"/>
      <c r="G67" s="90"/>
      <c r="K67" s="26"/>
    </row>
    <row r="68" spans="3:11" ht="15" outlineLevel="1" x14ac:dyDescent="0.25">
      <c r="C68" s="88" t="s">
        <v>62</v>
      </c>
      <c r="D68" s="88"/>
      <c r="E68" s="88"/>
      <c r="F68" s="88"/>
      <c r="G68" s="88"/>
      <c r="H68" s="15"/>
      <c r="I68" s="57">
        <f ca="1">TODAY()</f>
        <v>43978</v>
      </c>
      <c r="J68" s="15"/>
      <c r="K68" s="26" t="str">
        <f>C68</f>
        <v>Date</v>
      </c>
    </row>
    <row r="69" spans="3:11" ht="15" outlineLevel="1" x14ac:dyDescent="0.25">
      <c r="C69" s="88"/>
      <c r="D69" s="88"/>
      <c r="E69" s="88"/>
      <c r="F69" s="88"/>
      <c r="G69" s="88"/>
      <c r="H69" s="15"/>
      <c r="I69" s="15"/>
      <c r="J69" s="15"/>
      <c r="K69" s="26"/>
    </row>
    <row r="70" spans="3:11" ht="15" outlineLevel="1" x14ac:dyDescent="0.25">
      <c r="C70" s="88" t="s">
        <v>63</v>
      </c>
      <c r="D70" s="88"/>
      <c r="E70" s="88"/>
      <c r="F70" s="88"/>
      <c r="G70" s="88"/>
      <c r="H70" s="15"/>
      <c r="I70" s="58">
        <f ca="1">TODAY()</f>
        <v>43978</v>
      </c>
      <c r="J70" s="15"/>
      <c r="K70" s="26" t="str">
        <f>C70</f>
        <v>Date Heading</v>
      </c>
    </row>
    <row r="71" spans="3:11" ht="15" outlineLevel="1" x14ac:dyDescent="0.25">
      <c r="C71" s="90"/>
      <c r="D71" s="90"/>
      <c r="E71" s="90"/>
      <c r="F71" s="90"/>
      <c r="G71" s="90"/>
      <c r="K71" s="26"/>
    </row>
    <row r="72" spans="3:11" ht="15" outlineLevel="1" x14ac:dyDescent="0.25">
      <c r="C72" s="90" t="s">
        <v>64</v>
      </c>
      <c r="D72" s="90"/>
      <c r="E72" s="90"/>
      <c r="F72" s="90"/>
      <c r="G72" s="90"/>
      <c r="I72" s="40">
        <v>-123456.789</v>
      </c>
      <c r="K72" s="26" t="str">
        <f>C72</f>
        <v>Numbers 0</v>
      </c>
    </row>
    <row r="73" spans="3:11" ht="15" outlineLevel="1" x14ac:dyDescent="0.25">
      <c r="C73" s="90"/>
      <c r="D73" s="90"/>
      <c r="E73" s="90"/>
      <c r="F73" s="90"/>
      <c r="G73" s="90"/>
      <c r="K73" s="26"/>
    </row>
    <row r="74" spans="3:11" ht="15" outlineLevel="1" x14ac:dyDescent="0.25">
      <c r="C74" s="90" t="s">
        <v>65</v>
      </c>
      <c r="D74" s="90"/>
      <c r="E74" s="90"/>
      <c r="F74" s="90"/>
      <c r="G74" s="90"/>
      <c r="I74" s="41">
        <v>0.5</v>
      </c>
      <c r="K74" s="26" t="str">
        <f>C74</f>
        <v>Percent</v>
      </c>
    </row>
    <row r="75" spans="3:11" outlineLevel="1" x14ac:dyDescent="0.2">
      <c r="C75" s="90"/>
      <c r="D75" s="90"/>
      <c r="E75" s="90"/>
      <c r="F75" s="90"/>
      <c r="G75" s="90"/>
    </row>
    <row r="76" spans="3:11" outlineLevel="1" x14ac:dyDescent="0.2">
      <c r="C76" s="90"/>
      <c r="D76" s="90"/>
      <c r="E76" s="90"/>
      <c r="F76" s="90"/>
      <c r="G76" s="90"/>
    </row>
    <row r="77" spans="3:11" x14ac:dyDescent="0.2">
      <c r="C77" s="90"/>
      <c r="D77" s="90"/>
      <c r="E77" s="90"/>
      <c r="F77" s="90"/>
      <c r="G77" s="90"/>
    </row>
    <row r="78" spans="3:11" x14ac:dyDescent="0.2">
      <c r="C78" s="90"/>
      <c r="D78" s="90"/>
      <c r="E78" s="90"/>
      <c r="F78" s="90"/>
      <c r="G78" s="90"/>
    </row>
    <row r="79" spans="3:11" x14ac:dyDescent="0.2">
      <c r="C79" s="90"/>
      <c r="D79" s="90"/>
      <c r="E79" s="90"/>
      <c r="F79" s="90"/>
      <c r="G79" s="90"/>
    </row>
    <row r="80" spans="3:11" x14ac:dyDescent="0.2">
      <c r="C80" s="90"/>
      <c r="D80" s="90"/>
      <c r="E80" s="90"/>
      <c r="F80" s="90"/>
      <c r="G80" s="90"/>
    </row>
    <row r="81" spans="3:7" x14ac:dyDescent="0.2">
      <c r="C81" s="90"/>
      <c r="D81" s="90"/>
      <c r="E81" s="90"/>
      <c r="F81" s="90"/>
      <c r="G81" s="90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27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Model Parameters</v>
      </c>
      <c r="J1" s="87"/>
      <c r="K1" s="87"/>
    </row>
    <row r="2" spans="1:18" ht="18" x14ac:dyDescent="0.25">
      <c r="A2" s="50" t="str">
        <f ca="1">Model_Name</f>
        <v>Chapter 7.3 - SP Calculating the Pre-Tax Cost of Equity.xlsm</v>
      </c>
    </row>
    <row r="3" spans="1:18" x14ac:dyDescent="0.2">
      <c r="A3" s="87" t="s">
        <v>1</v>
      </c>
      <c r="B3" s="87"/>
      <c r="C3" s="87"/>
      <c r="D3" s="87"/>
      <c r="E3" s="87"/>
    </row>
    <row r="4" spans="1:18" ht="14.25" x14ac:dyDescent="0.2">
      <c r="E4" t="s">
        <v>2</v>
      </c>
      <c r="I4" s="1">
        <f ca="1">Overall_Error_Check</f>
        <v>0</v>
      </c>
    </row>
    <row r="6" spans="1:18" ht="16.5" thickBot="1" x14ac:dyDescent="0.3">
      <c r="B6" s="51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outlineLevel="1" thickTop="1" x14ac:dyDescent="0.2"/>
    <row r="8" spans="1:18" ht="16.5" outlineLevel="1" x14ac:dyDescent="0.25">
      <c r="C8" s="4" t="s">
        <v>4</v>
      </c>
    </row>
    <row r="9" spans="1:18" ht="16.5" outlineLevel="1" x14ac:dyDescent="0.25">
      <c r="C9" s="4"/>
    </row>
    <row r="10" spans="1:18" ht="16.5" outlineLevel="1" x14ac:dyDescent="0.25">
      <c r="C10" s="4"/>
      <c r="E10" s="5" t="s">
        <v>3</v>
      </c>
    </row>
    <row r="11" spans="1:18" outlineLevel="1" x14ac:dyDescent="0.2">
      <c r="E11" t="s">
        <v>5</v>
      </c>
      <c r="G11" s="92" t="str">
        <f ca="1">IF(ISERROR(OR(FIND("[",CELL("filename",A1)),FIND("]",CELL("filename",A1)))),"",MID(CELL("filename",A1),FIND("[",CELL("filename",A1))+1,FIND("]",CELL("filename",A1))-FIND("[",CELL("filename",A1))-1))</f>
        <v>Chapter 7.3 - SP Calculating the Pre-Tax Cost of Equity.xlsm</v>
      </c>
      <c r="H11" s="92"/>
      <c r="I11" s="92"/>
      <c r="J11" s="92"/>
      <c r="K11" s="92"/>
      <c r="L11" s="92"/>
      <c r="M11" s="92"/>
      <c r="N11" s="92"/>
    </row>
    <row r="12" spans="1:18" outlineLevel="1" x14ac:dyDescent="0.2">
      <c r="E12" t="s">
        <v>6</v>
      </c>
      <c r="G12" s="93" t="s">
        <v>83</v>
      </c>
      <c r="H12" s="93"/>
      <c r="I12" s="93"/>
      <c r="J12" s="93"/>
      <c r="K12" s="93"/>
      <c r="L12" s="93"/>
      <c r="M12" s="93"/>
      <c r="N12" s="93"/>
    </row>
    <row r="13" spans="1:18" outlineLevel="1" x14ac:dyDescent="0.2"/>
    <row r="14" spans="1:18" outlineLevel="1" x14ac:dyDescent="0.2"/>
    <row r="15" spans="1:18" ht="16.5" thickBot="1" x14ac:dyDescent="0.3">
      <c r="B15" s="51">
        <f>MAX($B$5:$B14)+1</f>
        <v>2</v>
      </c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 outlineLevel="1" thickTop="1" x14ac:dyDescent="0.2"/>
    <row r="17" spans="3:7" ht="16.5" outlineLevel="1" x14ac:dyDescent="0.25">
      <c r="C17" s="4" t="s">
        <v>8</v>
      </c>
    </row>
    <row r="18" spans="3:7" outlineLevel="1" x14ac:dyDescent="0.2"/>
    <row r="19" spans="3:7" outlineLevel="1" x14ac:dyDescent="0.2">
      <c r="E19" t="s">
        <v>9</v>
      </c>
      <c r="G19" s="6">
        <v>365</v>
      </c>
    </row>
    <row r="20" spans="3:7" outlineLevel="1" x14ac:dyDescent="0.2">
      <c r="E20" t="s">
        <v>10</v>
      </c>
      <c r="G20" s="6">
        <v>1</v>
      </c>
    </row>
    <row r="21" spans="3:7" outlineLevel="1" x14ac:dyDescent="0.2">
      <c r="E21" t="s">
        <v>11</v>
      </c>
      <c r="G21" s="6">
        <v>3</v>
      </c>
    </row>
    <row r="22" spans="3:7" outlineLevel="1" x14ac:dyDescent="0.2">
      <c r="E22" t="s">
        <v>12</v>
      </c>
      <c r="G22" s="6">
        <v>6</v>
      </c>
    </row>
    <row r="23" spans="3:7" outlineLevel="1" x14ac:dyDescent="0.2">
      <c r="E23" t="s">
        <v>13</v>
      </c>
      <c r="G23" s="6">
        <v>12</v>
      </c>
    </row>
    <row r="24" spans="3:7" outlineLevel="1" x14ac:dyDescent="0.2">
      <c r="E24" t="s">
        <v>14</v>
      </c>
      <c r="G24" s="6">
        <v>4</v>
      </c>
    </row>
    <row r="25" spans="3:7" outlineLevel="1" x14ac:dyDescent="0.2"/>
    <row r="26" spans="3:7" outlineLevel="1" x14ac:dyDescent="0.2">
      <c r="E26" t="s">
        <v>15</v>
      </c>
      <c r="G26" s="6">
        <v>0</v>
      </c>
    </row>
    <row r="27" spans="3:7" outlineLevel="1" x14ac:dyDescent="0.2"/>
    <row r="28" spans="3:7" outlineLevel="1" x14ac:dyDescent="0.2">
      <c r="E28" t="s">
        <v>16</v>
      </c>
      <c r="G28" s="7">
        <v>9.9999999999999997E+98</v>
      </c>
    </row>
    <row r="29" spans="3:7" outlineLevel="1" x14ac:dyDescent="0.2">
      <c r="E29" t="s">
        <v>17</v>
      </c>
      <c r="G29" s="7">
        <v>1E-8</v>
      </c>
    </row>
    <row r="30" spans="3:7" outlineLevel="1" x14ac:dyDescent="0.2"/>
    <row r="31" spans="3:7" outlineLevel="1" x14ac:dyDescent="0.2">
      <c r="E31" t="s">
        <v>18</v>
      </c>
      <c r="G31" s="6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26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37B44-1C59-4420-B157-F8F15C575713}">
  <sheetPr codeName="Sheet7">
    <outlinePr summaryBelow="0"/>
    <pageSetUpPr fitToPage="1"/>
  </sheetPr>
  <dimension ref="A1:AD116"/>
  <sheetViews>
    <sheetView showGridLines="0" tabSelected="1" zoomScale="90" zoomScaleNormal="90" workbookViewId="0">
      <pane ySplit="9" topLeftCell="A75" activePane="bottomLeft" state="frozen"/>
      <selection pane="bottomLeft" activeCell="Y116" sqref="Y116"/>
    </sheetView>
  </sheetViews>
  <sheetFormatPr defaultRowHeight="12" outlineLevelRow="2" x14ac:dyDescent="0.2"/>
  <cols>
    <col min="1" max="4" width="3.7109375" style="63" customWidth="1"/>
    <col min="5" max="5" width="24.7109375" style="63" bestFit="1" customWidth="1"/>
    <col min="6" max="6" width="9.140625" style="63"/>
    <col min="7" max="7" width="9.140625" style="63" customWidth="1"/>
    <col min="8" max="8" width="1.7109375" style="63" customWidth="1"/>
    <col min="9" max="9" width="21.42578125" style="63" bestFit="1" customWidth="1"/>
    <col min="10" max="14" width="10.7109375" style="63" customWidth="1"/>
    <col min="15" max="16384" width="9.140625" style="63"/>
  </cols>
  <sheetData>
    <row r="1" spans="1:30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Pre-Tax Cost of Equity Example</v>
      </c>
      <c r="I1" s="87"/>
      <c r="J1" s="87"/>
    </row>
    <row r="2" spans="1:30" ht="18" x14ac:dyDescent="0.25">
      <c r="A2" s="50" t="str">
        <f ca="1">Model_Name</f>
        <v>Chapter 7.3 - SP Calculating the Pre-Tax Cost of Equity.xlsm</v>
      </c>
    </row>
    <row r="3" spans="1:30" x14ac:dyDescent="0.2">
      <c r="A3" s="87" t="s">
        <v>1</v>
      </c>
      <c r="B3" s="87"/>
      <c r="C3" s="87"/>
      <c r="D3" s="87"/>
      <c r="E3" s="87"/>
    </row>
    <row r="4" spans="1:30" x14ac:dyDescent="0.2">
      <c r="A4"/>
      <c r="B4"/>
      <c r="C4"/>
      <c r="D4"/>
      <c r="E4"/>
      <c r="F4"/>
      <c r="G4"/>
    </row>
    <row r="5" spans="1:30" collapsed="1" x14ac:dyDescent="0.2">
      <c r="J5" s="44">
        <f>Timing!J5</f>
        <v>44196</v>
      </c>
      <c r="K5" s="44">
        <f>Timing!K5</f>
        <v>44561</v>
      </c>
      <c r="L5" s="44">
        <f>Timing!L5</f>
        <v>44926</v>
      </c>
      <c r="M5" s="44">
        <f>Timing!M5</f>
        <v>45291</v>
      </c>
      <c r="N5" s="44">
        <f>Timing!N5</f>
        <v>45657</v>
      </c>
      <c r="O5" s="44">
        <f>Timing!O5</f>
        <v>46022</v>
      </c>
      <c r="P5" s="44">
        <f>Timing!P5</f>
        <v>46387</v>
      </c>
      <c r="Q5" s="44">
        <f>Timing!Q5</f>
        <v>46752</v>
      </c>
      <c r="R5" s="44">
        <f>Timing!R5</f>
        <v>47118</v>
      </c>
      <c r="S5" s="44">
        <f>Timing!S5</f>
        <v>47483</v>
      </c>
      <c r="T5" s="44">
        <f>Timing!T5</f>
        <v>47848</v>
      </c>
      <c r="U5" s="44">
        <f>Timing!U5</f>
        <v>48213</v>
      </c>
      <c r="V5" s="44">
        <f>Timing!V5</f>
        <v>48579</v>
      </c>
      <c r="W5" s="44">
        <f>Timing!W5</f>
        <v>48944</v>
      </c>
      <c r="X5" s="44">
        <f>Timing!X5</f>
        <v>49309</v>
      </c>
      <c r="Y5" s="44">
        <f>Timing!Y5</f>
        <v>49674</v>
      </c>
      <c r="Z5" s="44">
        <f>Timing!Z5</f>
        <v>50040</v>
      </c>
      <c r="AA5" s="44">
        <f>Timing!AA5</f>
        <v>50405</v>
      </c>
      <c r="AB5" s="44">
        <f>Timing!AB5</f>
        <v>50770</v>
      </c>
      <c r="AC5" s="44">
        <f>Timing!AC5</f>
        <v>51135</v>
      </c>
    </row>
    <row r="6" spans="1:30" hidden="1" outlineLevel="2" x14ac:dyDescent="0.2">
      <c r="C6" s="63" t="str">
        <f>Timing!C6</f>
        <v>Start Date</v>
      </c>
      <c r="J6" s="43">
        <f>Timing!J6</f>
        <v>43831</v>
      </c>
      <c r="K6" s="43">
        <f>Timing!K6</f>
        <v>44197</v>
      </c>
      <c r="L6" s="43">
        <f>Timing!L6</f>
        <v>44562</v>
      </c>
      <c r="M6" s="43">
        <f>Timing!M6</f>
        <v>44927</v>
      </c>
      <c r="N6" s="43">
        <f>Timing!N6</f>
        <v>45292</v>
      </c>
      <c r="O6" s="43">
        <f>Timing!O6</f>
        <v>45658</v>
      </c>
      <c r="P6" s="43">
        <f>Timing!P6</f>
        <v>46023</v>
      </c>
      <c r="Q6" s="43">
        <f>Timing!Q6</f>
        <v>46388</v>
      </c>
      <c r="R6" s="43">
        <f>Timing!R6</f>
        <v>46753</v>
      </c>
      <c r="S6" s="43">
        <f>Timing!S6</f>
        <v>47119</v>
      </c>
      <c r="T6" s="43">
        <f>Timing!T6</f>
        <v>47484</v>
      </c>
      <c r="U6" s="43">
        <f>Timing!U6</f>
        <v>47849</v>
      </c>
      <c r="V6" s="43">
        <f>Timing!V6</f>
        <v>48214</v>
      </c>
      <c r="W6" s="43">
        <f>Timing!W6</f>
        <v>48580</v>
      </c>
      <c r="X6" s="43">
        <f>Timing!X6</f>
        <v>48945</v>
      </c>
      <c r="Y6" s="43">
        <f>Timing!Y6</f>
        <v>49310</v>
      </c>
      <c r="Z6" s="43">
        <f>Timing!Z6</f>
        <v>49675</v>
      </c>
      <c r="AA6" s="43">
        <f>Timing!AA6</f>
        <v>50041</v>
      </c>
      <c r="AB6" s="43">
        <f>Timing!AB6</f>
        <v>50406</v>
      </c>
      <c r="AC6" s="43">
        <f>Timing!AC6</f>
        <v>50771</v>
      </c>
    </row>
    <row r="7" spans="1:30" hidden="1" outlineLevel="2" x14ac:dyDescent="0.2">
      <c r="C7" s="63" t="str">
        <f>Timing!C7</f>
        <v>End Date</v>
      </c>
      <c r="J7" s="43">
        <f>Timing!J7</f>
        <v>44196</v>
      </c>
      <c r="K7" s="43">
        <f>Timing!K7</f>
        <v>44561</v>
      </c>
      <c r="L7" s="43">
        <f>Timing!L7</f>
        <v>44926</v>
      </c>
      <c r="M7" s="43">
        <f>Timing!M7</f>
        <v>45291</v>
      </c>
      <c r="N7" s="43">
        <f>Timing!N7</f>
        <v>45657</v>
      </c>
      <c r="O7" s="43">
        <f>Timing!O7</f>
        <v>46022</v>
      </c>
      <c r="P7" s="43">
        <f>Timing!P7</f>
        <v>46387</v>
      </c>
      <c r="Q7" s="43">
        <f>Timing!Q7</f>
        <v>46752</v>
      </c>
      <c r="R7" s="43">
        <f>Timing!R7</f>
        <v>47118</v>
      </c>
      <c r="S7" s="43">
        <f>Timing!S7</f>
        <v>47483</v>
      </c>
      <c r="T7" s="43">
        <f>Timing!T7</f>
        <v>47848</v>
      </c>
      <c r="U7" s="43">
        <f>Timing!U7</f>
        <v>48213</v>
      </c>
      <c r="V7" s="43">
        <f>Timing!V7</f>
        <v>48579</v>
      </c>
      <c r="W7" s="43">
        <f>Timing!W7</f>
        <v>48944</v>
      </c>
      <c r="X7" s="43">
        <f>Timing!X7</f>
        <v>49309</v>
      </c>
      <c r="Y7" s="43">
        <f>Timing!Y7</f>
        <v>49674</v>
      </c>
      <c r="Z7" s="43">
        <f>Timing!Z7</f>
        <v>50040</v>
      </c>
      <c r="AA7" s="43">
        <f>Timing!AA7</f>
        <v>50405</v>
      </c>
      <c r="AB7" s="43">
        <f>Timing!AB7</f>
        <v>50770</v>
      </c>
      <c r="AC7" s="43">
        <f>Timing!AC7</f>
        <v>51135</v>
      </c>
    </row>
    <row r="8" spans="1:30" hidden="1" outlineLevel="2" x14ac:dyDescent="0.2">
      <c r="C8" s="63" t="str">
        <f>Timing!C8</f>
        <v>Number of Days</v>
      </c>
      <c r="J8" s="39">
        <f>Timing!J8</f>
        <v>366</v>
      </c>
      <c r="K8" s="39">
        <f>Timing!K8</f>
        <v>365</v>
      </c>
      <c r="L8" s="39">
        <f>Timing!L8</f>
        <v>365</v>
      </c>
      <c r="M8" s="39">
        <f>Timing!M8</f>
        <v>365</v>
      </c>
      <c r="N8" s="39">
        <f>Timing!N8</f>
        <v>366</v>
      </c>
      <c r="O8" s="39">
        <f>Timing!O8</f>
        <v>365</v>
      </c>
      <c r="P8" s="39">
        <f>Timing!P8</f>
        <v>365</v>
      </c>
      <c r="Q8" s="39">
        <f>Timing!Q8</f>
        <v>365</v>
      </c>
      <c r="R8" s="39">
        <f>Timing!R8</f>
        <v>366</v>
      </c>
      <c r="S8" s="39">
        <f>Timing!S8</f>
        <v>365</v>
      </c>
      <c r="T8" s="39">
        <f>Timing!T8</f>
        <v>365</v>
      </c>
      <c r="U8" s="39">
        <f>Timing!U8</f>
        <v>365</v>
      </c>
      <c r="V8" s="39">
        <f>Timing!V8</f>
        <v>366</v>
      </c>
      <c r="W8" s="39">
        <f>Timing!W8</f>
        <v>365</v>
      </c>
      <c r="X8" s="39">
        <f>Timing!X8</f>
        <v>365</v>
      </c>
      <c r="Y8" s="39">
        <f>Timing!Y8</f>
        <v>365</v>
      </c>
      <c r="Z8" s="39">
        <f>Timing!Z8</f>
        <v>366</v>
      </c>
      <c r="AA8" s="39">
        <f>Timing!AA8</f>
        <v>365</v>
      </c>
      <c r="AB8" s="39">
        <f>Timing!AB8</f>
        <v>365</v>
      </c>
      <c r="AC8" s="39">
        <f>Timing!AC8</f>
        <v>365</v>
      </c>
    </row>
    <row r="9" spans="1:30" hidden="1" outlineLevel="2" x14ac:dyDescent="0.2">
      <c r="C9" s="63" t="str">
        <f>Timing!C9</f>
        <v>Counter</v>
      </c>
      <c r="J9" s="39">
        <f>Timing!J9</f>
        <v>1</v>
      </c>
      <c r="K9" s="39">
        <f>Timing!K9</f>
        <v>2</v>
      </c>
      <c r="L9" s="39">
        <f>Timing!L9</f>
        <v>3</v>
      </c>
      <c r="M9" s="39">
        <f>Timing!M9</f>
        <v>4</v>
      </c>
      <c r="N9" s="39">
        <f>Timing!N9</f>
        <v>5</v>
      </c>
      <c r="O9" s="39">
        <f>Timing!O9</f>
        <v>6</v>
      </c>
      <c r="P9" s="39">
        <f>Timing!P9</f>
        <v>7</v>
      </c>
      <c r="Q9" s="39">
        <f>Timing!Q9</f>
        <v>8</v>
      </c>
      <c r="R9" s="39">
        <f>Timing!R9</f>
        <v>9</v>
      </c>
      <c r="S9" s="39">
        <f>Timing!S9</f>
        <v>10</v>
      </c>
      <c r="T9" s="39">
        <f>Timing!T9</f>
        <v>11</v>
      </c>
      <c r="U9" s="39">
        <f>Timing!U9</f>
        <v>12</v>
      </c>
      <c r="V9" s="39">
        <f>Timing!V9</f>
        <v>13</v>
      </c>
      <c r="W9" s="39">
        <f>Timing!W9</f>
        <v>14</v>
      </c>
      <c r="X9" s="39">
        <f>Timing!X9</f>
        <v>15</v>
      </c>
      <c r="Y9" s="39">
        <f>Timing!Y9</f>
        <v>16</v>
      </c>
      <c r="Z9" s="39">
        <f>Timing!Z9</f>
        <v>17</v>
      </c>
      <c r="AA9" s="39">
        <f>Timing!AA9</f>
        <v>18</v>
      </c>
      <c r="AB9" s="39">
        <f>Timing!AB9</f>
        <v>19</v>
      </c>
      <c r="AC9" s="39">
        <f>Timing!AC9</f>
        <v>20</v>
      </c>
    </row>
    <row r="10" spans="1:30" x14ac:dyDescent="0.2">
      <c r="A10" s="62"/>
    </row>
    <row r="11" spans="1:30" ht="16.5" thickBot="1" x14ac:dyDescent="0.3">
      <c r="B11" s="51">
        <f>MAX($B$10:$B10)+1</f>
        <v>1</v>
      </c>
      <c r="C11" s="46" t="s">
        <v>84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outlineLevel="1" thickTop="1" x14ac:dyDescent="0.2"/>
    <row r="13" spans="1:30" ht="16.5" outlineLevel="1" x14ac:dyDescent="0.25">
      <c r="C13" s="4" t="s">
        <v>4</v>
      </c>
    </row>
    <row r="14" spans="1:30" outlineLevel="1" x14ac:dyDescent="0.2"/>
    <row r="15" spans="1:30" ht="15" outlineLevel="1" x14ac:dyDescent="0.25">
      <c r="D15" s="5" t="s">
        <v>85</v>
      </c>
    </row>
    <row r="16" spans="1:30" outlineLevel="1" x14ac:dyDescent="0.2"/>
    <row r="17" spans="4:9" outlineLevel="1" x14ac:dyDescent="0.2">
      <c r="E17" s="63" t="s">
        <v>86</v>
      </c>
      <c r="F17" s="37" t="s">
        <v>91</v>
      </c>
      <c r="G17" s="65">
        <v>0.08</v>
      </c>
      <c r="I17" s="34" t="s">
        <v>109</v>
      </c>
    </row>
    <row r="18" spans="4:9" outlineLevel="1" x14ac:dyDescent="0.2">
      <c r="E18" s="63" t="s">
        <v>87</v>
      </c>
      <c r="F18" s="37" t="s">
        <v>91</v>
      </c>
      <c r="G18" s="65">
        <v>0.12</v>
      </c>
      <c r="I18" s="34" t="s">
        <v>110</v>
      </c>
    </row>
    <row r="19" spans="4:9" outlineLevel="1" x14ac:dyDescent="0.2">
      <c r="E19" s="63" t="s">
        <v>88</v>
      </c>
      <c r="F19" s="37" t="s">
        <v>91</v>
      </c>
      <c r="G19" s="65">
        <v>0.3</v>
      </c>
      <c r="I19" s="34" t="s">
        <v>111</v>
      </c>
    </row>
    <row r="20" spans="4:9" outlineLevel="1" x14ac:dyDescent="0.2">
      <c r="E20" s="63" t="s">
        <v>90</v>
      </c>
      <c r="F20" s="37" t="s">
        <v>91</v>
      </c>
      <c r="G20" s="65">
        <v>0.5</v>
      </c>
      <c r="I20" s="34" t="s">
        <v>112</v>
      </c>
    </row>
    <row r="21" spans="4:9" outlineLevel="1" x14ac:dyDescent="0.2">
      <c r="I21" s="34"/>
    </row>
    <row r="22" spans="4:9" outlineLevel="1" x14ac:dyDescent="0.2">
      <c r="E22" s="66" t="s">
        <v>92</v>
      </c>
      <c r="F22" s="37" t="s">
        <v>91</v>
      </c>
      <c r="G22" s="67">
        <f>(PreTax_Cost_of_Debt*(1-Tax_Rate)*Proportion_of_Debt)+(PostTax_Cost_of_Equity*(1-Proportion_of_Debt))</f>
        <v>8.7999999999999995E-2</v>
      </c>
      <c r="I22" s="34" t="s">
        <v>113</v>
      </c>
    </row>
    <row r="23" spans="4:9" outlineLevel="1" x14ac:dyDescent="0.2">
      <c r="I23" s="34"/>
    </row>
    <row r="24" spans="4:9" outlineLevel="1" x14ac:dyDescent="0.2">
      <c r="E24" s="63" t="s">
        <v>107</v>
      </c>
      <c r="F24" s="71" t="s">
        <v>108</v>
      </c>
      <c r="G24" s="69" t="s">
        <v>105</v>
      </c>
      <c r="I24" s="34" t="s">
        <v>114</v>
      </c>
    </row>
    <row r="25" spans="4:9" outlineLevel="1" x14ac:dyDescent="0.2">
      <c r="I25" s="34"/>
    </row>
    <row r="26" spans="4:9" outlineLevel="1" x14ac:dyDescent="0.2">
      <c r="E26" s="63" t="str">
        <f>IF(Terminal_Value_Switch=Yes,"Growth Rate in Perpetuity","")</f>
        <v>Growth Rate in Perpetuity</v>
      </c>
      <c r="F26" s="71" t="str">
        <f>IF(Terminal_Value_Switch=Yes,"%","")</f>
        <v>%</v>
      </c>
      <c r="G26" s="65">
        <v>0.02</v>
      </c>
      <c r="I26" s="72" t="str">
        <f>IF(Terminal_Value_Switch=Yes,"Growth_Rate_in_Perpetuity","")</f>
        <v>Growth_Rate_in_Perpetuity</v>
      </c>
    </row>
    <row r="27" spans="4:9" outlineLevel="1" x14ac:dyDescent="0.2">
      <c r="I27" s="34"/>
    </row>
    <row r="28" spans="4:9" outlineLevel="1" x14ac:dyDescent="0.2">
      <c r="E28" s="63" t="str">
        <f>IF(Terminal_Value_Switch=Yes,"Tolerance in NPV","")</f>
        <v>Tolerance in NPV</v>
      </c>
      <c r="F28" s="71" t="str">
        <f>IF(Terminal_Value_Switch=Yes,"%","")</f>
        <v>%</v>
      </c>
      <c r="G28" s="65">
        <v>0.9</v>
      </c>
      <c r="I28" s="72" t="str">
        <f>IF(Terminal_Value_Switch=Yes,"TV Tolerance","")</f>
        <v>TV Tolerance</v>
      </c>
    </row>
    <row r="29" spans="4:9" outlineLevel="1" x14ac:dyDescent="0.2">
      <c r="I29" s="34"/>
    </row>
    <row r="30" spans="4:9" outlineLevel="1" x14ac:dyDescent="0.2">
      <c r="I30" s="34"/>
    </row>
    <row r="31" spans="4:9" ht="15" outlineLevel="1" x14ac:dyDescent="0.25">
      <c r="D31" s="5" t="s">
        <v>75</v>
      </c>
      <c r="I31" s="34"/>
    </row>
    <row r="32" spans="4:9" outlineLevel="1" x14ac:dyDescent="0.2">
      <c r="I32" s="34"/>
    </row>
    <row r="33" spans="5:29" outlineLevel="1" x14ac:dyDescent="0.2">
      <c r="E33" s="63" t="s">
        <v>93</v>
      </c>
      <c r="F33" s="68" t="s">
        <v>94</v>
      </c>
      <c r="G33" s="69">
        <v>8</v>
      </c>
      <c r="I33" s="34" t="s">
        <v>115</v>
      </c>
    </row>
    <row r="34" spans="5:29" outlineLevel="1" x14ac:dyDescent="0.2">
      <c r="E34" s="63" t="s">
        <v>95</v>
      </c>
      <c r="F34" s="68" t="s">
        <v>96</v>
      </c>
      <c r="G34" s="69">
        <v>1</v>
      </c>
      <c r="I34" s="34" t="s">
        <v>116</v>
      </c>
    </row>
    <row r="35" spans="5:29" outlineLevel="1" x14ac:dyDescent="0.2">
      <c r="E35" s="63" t="s">
        <v>97</v>
      </c>
      <c r="F35" s="68" t="s">
        <v>139</v>
      </c>
      <c r="G35" s="69" t="s">
        <v>101</v>
      </c>
      <c r="I35" s="34" t="s">
        <v>117</v>
      </c>
    </row>
    <row r="36" spans="5:29" outlineLevel="1" collapsed="1" x14ac:dyDescent="0.2"/>
    <row r="37" spans="5:29" hidden="1" outlineLevel="2" x14ac:dyDescent="0.2">
      <c r="E37" s="66" t="s">
        <v>120</v>
      </c>
    </row>
    <row r="38" spans="5:29" hidden="1" outlineLevel="2" x14ac:dyDescent="0.2">
      <c r="E38" s="63" t="str">
        <f>Start</f>
        <v>Start</v>
      </c>
      <c r="F38" s="71" t="str">
        <f>IF(Terminal_Value_Switch=Yes,"%","")</f>
        <v>%</v>
      </c>
      <c r="J38" s="74">
        <f>IF(J$9&lt;=Number_of_Periods,(1+Post_Tax_WACC)^-(SUM($I$8:I$8)/Days_in_Year),"")</f>
        <v>1</v>
      </c>
      <c r="K38" s="74">
        <f>IF(K$9&lt;=Number_of_Periods,(1+Post_Tax_WACC)^-(SUM($I$8:J$8)/Days_in_Year),"")</f>
        <v>0.91890528957302442</v>
      </c>
      <c r="L38" s="74">
        <f>IF(L$9&lt;=Number_of_Periods,(1+Post_Tax_WACC)^-(SUM($I$8:K$8)/Days_in_Year),"")</f>
        <v>0.84458206762226495</v>
      </c>
      <c r="M38" s="74">
        <f>IF(M$9&lt;=Number_of_Periods,(1+Post_Tax_WACC)^-(SUM($I$8:L$8)/Days_in_Year),"")</f>
        <v>0.77627028274105225</v>
      </c>
      <c r="N38" s="74">
        <f>IF(N$9&lt;=Number_of_Periods,(1+Post_Tax_WACC)^-(SUM($I$8:M$8)/Days_in_Year),"")</f>
        <v>0.71348371575464364</v>
      </c>
      <c r="O38" s="74">
        <f>IF(O$9&lt;=Number_of_Periods,(1+Post_Tax_WACC)^-(SUM($I$8:N$8)/Days_in_Year),"")</f>
        <v>0.65562396043115823</v>
      </c>
      <c r="P38" s="74">
        <f>IF(P$9&lt;=Number_of_Periods,(1+Post_Tax_WACC)^-(SUM($I$8:O$8)/Days_in_Year),"")</f>
        <v>0.6025955518668733</v>
      </c>
      <c r="Q38" s="74">
        <f>IF(Q$9&lt;=Number_of_Periods,(1+Post_Tax_WACC)^-(SUM($I$8:P$8)/Days_in_Year),"")</f>
        <v>0.55385620575999384</v>
      </c>
      <c r="R38" s="74" t="str">
        <f>IF(R$9&lt;=Number_of_Periods,(1+Post_Tax_WACC)^-(SUM($I$8:Q$8)/Days_in_Year),"")</f>
        <v/>
      </c>
      <c r="S38" s="74" t="str">
        <f>IF(S$9&lt;=Number_of_Periods,(1+Post_Tax_WACC)^-(SUM($I$8:R$8)/Days_in_Year),"")</f>
        <v/>
      </c>
      <c r="T38" s="74" t="str">
        <f>IF(T$9&lt;=Number_of_Periods,(1+Post_Tax_WACC)^-(SUM($I$8:S$8)/Days_in_Year),"")</f>
        <v/>
      </c>
      <c r="U38" s="74" t="str">
        <f>IF(U$9&lt;=Number_of_Periods,(1+Post_Tax_WACC)^-(SUM($I$8:T$8)/Days_in_Year),"")</f>
        <v/>
      </c>
      <c r="V38" s="74" t="str">
        <f>IF(V$9&lt;=Number_of_Periods,(1+Post_Tax_WACC)^-(SUM($I$8:U$8)/Days_in_Year),"")</f>
        <v/>
      </c>
      <c r="W38" s="74" t="str">
        <f>IF(W$9&lt;=Number_of_Periods,(1+Post_Tax_WACC)^-(SUM($I$8:V$8)/Days_in_Year),"")</f>
        <v/>
      </c>
      <c r="X38" s="74" t="str">
        <f>IF(X$9&lt;=Number_of_Periods,(1+Post_Tax_WACC)^-(SUM($I$8:W$8)/Days_in_Year),"")</f>
        <v/>
      </c>
      <c r="Y38" s="74" t="str">
        <f>IF(Y$9&lt;=Number_of_Periods,(1+Post_Tax_WACC)^-(SUM($I$8:X$8)/Days_in_Year),"")</f>
        <v/>
      </c>
      <c r="Z38" s="74" t="str">
        <f>IF(Z$9&lt;=Number_of_Periods,(1+Post_Tax_WACC)^-(SUM($I$8:Y$8)/Days_in_Year),"")</f>
        <v/>
      </c>
      <c r="AA38" s="74" t="str">
        <f>IF(AA$9&lt;=Number_of_Periods,(1+Post_Tax_WACC)^-(SUM($I$8:Z$8)/Days_in_Year),"")</f>
        <v/>
      </c>
      <c r="AB38" s="74" t="str">
        <f>IF(AB$9&lt;=Number_of_Periods,(1+Post_Tax_WACC)^-(SUM($I$8:AA$8)/Days_in_Year),"")</f>
        <v/>
      </c>
      <c r="AC38" s="74" t="str">
        <f>IF(AC$9&lt;=Number_of_Periods,(1+Post_Tax_WACC)^-(SUM($I$8:AB$8)/Days_in_Year),"")</f>
        <v/>
      </c>
    </row>
    <row r="39" spans="5:29" hidden="1" outlineLevel="2" x14ac:dyDescent="0.2">
      <c r="E39" s="63" t="str">
        <f>Middle</f>
        <v>Middle</v>
      </c>
      <c r="F39" s="71" t="str">
        <f>IF(Terminal_Value_Switch=Yes,"%","")</f>
        <v>%</v>
      </c>
      <c r="J39" s="74">
        <f>IF(J$9&lt;=Number_of_Periods,(1+Post_Tax_WACC)^-((SUM($I$8:I$8)+SUM($J$8:J$8))/(2*Days_in_Year)),"")</f>
        <v>0.95859547754672014</v>
      </c>
      <c r="K39" s="74">
        <f>IF(K$9&lt;=Number_of_Periods,(1+Post_Tax_WACC)^-((SUM($I$8:J$8)+SUM($J$8:K$8))/(2*Days_in_Year)),"")</f>
        <v>0.88096023146145541</v>
      </c>
      <c r="L39" s="74">
        <f>IF(L$9&lt;=Number_of_Periods,(1+Post_Tax_WACC)^-((SUM($I$8:K$8)+SUM($J$8:L$8))/(2*Days_in_Year)),"")</f>
        <v>0.80970609509324931</v>
      </c>
      <c r="M39" s="74">
        <f>IF(M$9&lt;=Number_of_Periods,(1+Post_Tax_WACC)^-((SUM($I$8:L$8)+SUM($J$8:M$8))/(2*Days_in_Year)),"")</f>
        <v>0.74421516093129536</v>
      </c>
      <c r="N39" s="74">
        <f>IF(N$9&lt;=Number_of_Periods,(1+Post_Tax_WACC)^-((SUM($I$8:M$8)+SUM($J$8:N$8))/(2*Days_in_Year)),"")</f>
        <v>0.6839422632256309</v>
      </c>
      <c r="O39" s="74">
        <f>IF(O$9&lt;=Number_of_Periods,(1+Post_Tax_WACC)^-((SUM($I$8:N$8)+SUM($J$8:O$8))/(2*Days_in_Year)),"")</f>
        <v>0.62855077937519011</v>
      </c>
      <c r="P39" s="74">
        <f>IF(P$9&lt;=Number_of_Periods,(1+Post_Tax_WACC)^-((SUM($I$8:O$8)+SUM($J$8:P$8))/(2*Days_in_Year)),"")</f>
        <v>0.57771211339631434</v>
      </c>
      <c r="Q39" s="74">
        <f>IF(Q$9&lt;=Number_of_Periods,(1+Post_Tax_WACC)^-((SUM($I$8:P$8)+SUM($J$8:Q$8))/(2*Days_in_Year)),"")</f>
        <v>0.53098539834220071</v>
      </c>
      <c r="R39" s="74" t="str">
        <f>IF(R$9&lt;=Number_of_Periods,(1+Post_Tax_WACC)^-((SUM($I$8:Q$8)+SUM($J$8:R$8))/(2*Days_in_Year)),"")</f>
        <v/>
      </c>
      <c r="S39" s="74" t="str">
        <f>IF(S$9&lt;=Number_of_Periods,(1+Post_Tax_WACC)^-((SUM($I$8:R$8)+SUM($J$8:S$8))/(2*Days_in_Year)),"")</f>
        <v/>
      </c>
      <c r="T39" s="74" t="str">
        <f>IF(T$9&lt;=Number_of_Periods,(1+Post_Tax_WACC)^-((SUM($I$8:S$8)+SUM($J$8:T$8))/(2*Days_in_Year)),"")</f>
        <v/>
      </c>
      <c r="U39" s="74" t="str">
        <f>IF(U$9&lt;=Number_of_Periods,(1+Post_Tax_WACC)^-((SUM($I$8:T$8)+SUM($J$8:U$8))/(2*Days_in_Year)),"")</f>
        <v/>
      </c>
      <c r="V39" s="74" t="str">
        <f>IF(V$9&lt;=Number_of_Periods,(1+Post_Tax_WACC)^-((SUM($I$8:U$8)+SUM($J$8:V$8))/(2*Days_in_Year)),"")</f>
        <v/>
      </c>
      <c r="W39" s="74" t="str">
        <f>IF(W$9&lt;=Number_of_Periods,(1+Post_Tax_WACC)^-((SUM($I$8:V$8)+SUM($J$8:W$8))/(2*Days_in_Year)),"")</f>
        <v/>
      </c>
      <c r="X39" s="74" t="str">
        <f>IF(X$9&lt;=Number_of_Periods,(1+Post_Tax_WACC)^-((SUM($I$8:W$8)+SUM($J$8:X$8))/(2*Days_in_Year)),"")</f>
        <v/>
      </c>
      <c r="Y39" s="74" t="str">
        <f>IF(Y$9&lt;=Number_of_Periods,(1+Post_Tax_WACC)^-((SUM($I$8:X$8)+SUM($J$8:Y$8))/(2*Days_in_Year)),"")</f>
        <v/>
      </c>
      <c r="Z39" s="74" t="str">
        <f>IF(Z$9&lt;=Number_of_Periods,(1+Post_Tax_WACC)^-((SUM($I$8:Y$8)+SUM($J$8:Z$8))/(2*Days_in_Year)),"")</f>
        <v/>
      </c>
      <c r="AA39" s="74" t="str">
        <f>IF(AA$9&lt;=Number_of_Periods,(1+Post_Tax_WACC)^-((SUM($I$8:Z$8)+SUM($J$8:AA$8))/(2*Days_in_Year)),"")</f>
        <v/>
      </c>
      <c r="AB39" s="74" t="str">
        <f>IF(AB$9&lt;=Number_of_Periods,(1+Post_Tax_WACC)^-((SUM($I$8:AA$8)+SUM($J$8:AB$8))/(2*Days_in_Year)),"")</f>
        <v/>
      </c>
      <c r="AC39" s="74" t="str">
        <f>IF(AC$9&lt;=Number_of_Periods,(1+Post_Tax_WACC)^-((SUM($I$8:AB$8)+SUM($J$8:AC$8))/(2*Days_in_Year)),"")</f>
        <v/>
      </c>
    </row>
    <row r="40" spans="5:29" hidden="1" outlineLevel="2" x14ac:dyDescent="0.2">
      <c r="E40" s="63" t="str">
        <f>End</f>
        <v>End</v>
      </c>
      <c r="F40" s="71" t="str">
        <f>IF(Terminal_Value_Switch=Yes,"%","")</f>
        <v>%</v>
      </c>
      <c r="J40" s="74">
        <f>IF(J$9&lt;=Number_of_Periods,(1+Post_Tax_WACC)^-(SUM($J$8:J$8)/Days_in_Year),"")</f>
        <v>0.91890528957302442</v>
      </c>
      <c r="K40" s="74">
        <f>IF(K$9&lt;=Number_of_Periods,(1+Post_Tax_WACC)^-(SUM($J$8:K$8)/Days_in_Year),"")</f>
        <v>0.84458206762226495</v>
      </c>
      <c r="L40" s="74">
        <f>IF(L$9&lt;=Number_of_Periods,(1+Post_Tax_WACC)^-(SUM($J$8:L$8)/Days_in_Year),"")</f>
        <v>0.77627028274105225</v>
      </c>
      <c r="M40" s="74">
        <f>IF(M$9&lt;=Number_of_Periods,(1+Post_Tax_WACC)^-(SUM($J$8:M$8)/Days_in_Year),"")</f>
        <v>0.71348371575464364</v>
      </c>
      <c r="N40" s="74">
        <f>IF(N$9&lt;=Number_of_Periods,(1+Post_Tax_WACC)^-(SUM($J$8:N$8)/Days_in_Year),"")</f>
        <v>0.65562396043115823</v>
      </c>
      <c r="O40" s="74">
        <f>IF(O$9&lt;=Number_of_Periods,(1+Post_Tax_WACC)^-(SUM($J$8:O$8)/Days_in_Year),"")</f>
        <v>0.6025955518668733</v>
      </c>
      <c r="P40" s="74">
        <f>IF(P$9&lt;=Number_of_Periods,(1+Post_Tax_WACC)^-(SUM($J$8:P$8)/Days_in_Year),"")</f>
        <v>0.55385620575999384</v>
      </c>
      <c r="Q40" s="74">
        <f>IF(Q$9&lt;=Number_of_Periods,(1+Post_Tax_WACC)^-(SUM($J$8:Q$8)/Days_in_Year),"")</f>
        <v>0.50905901264705311</v>
      </c>
      <c r="R40" s="74" t="str">
        <f>IF(R$9&lt;=Number_of_Periods,(1+Post_Tax_WACC)^-(SUM($J$8:R$8)/Days_in_Year),"")</f>
        <v/>
      </c>
      <c r="S40" s="74" t="str">
        <f>IF(S$9&lt;=Number_of_Periods,(1+Post_Tax_WACC)^-(SUM($J$8:S$8)/Days_in_Year),"")</f>
        <v/>
      </c>
      <c r="T40" s="74" t="str">
        <f>IF(T$9&lt;=Number_of_Periods,(1+Post_Tax_WACC)^-(SUM($J$8:T$8)/Days_in_Year),"")</f>
        <v/>
      </c>
      <c r="U40" s="74" t="str">
        <f>IF(U$9&lt;=Number_of_Periods,(1+Post_Tax_WACC)^-(SUM($J$8:U$8)/Days_in_Year),"")</f>
        <v/>
      </c>
      <c r="V40" s="74" t="str">
        <f>IF(V$9&lt;=Number_of_Periods,(1+Post_Tax_WACC)^-(SUM($J$8:V$8)/Days_in_Year),"")</f>
        <v/>
      </c>
      <c r="W40" s="74" t="str">
        <f>IF(W$9&lt;=Number_of_Periods,(1+Post_Tax_WACC)^-(SUM($J$8:W$8)/Days_in_Year),"")</f>
        <v/>
      </c>
      <c r="X40" s="74" t="str">
        <f>IF(X$9&lt;=Number_of_Periods,(1+Post_Tax_WACC)^-(SUM($J$8:X$8)/Days_in_Year),"")</f>
        <v/>
      </c>
      <c r="Y40" s="74" t="str">
        <f>IF(Y$9&lt;=Number_of_Periods,(1+Post_Tax_WACC)^-(SUM($J$8:Y$8)/Days_in_Year),"")</f>
        <v/>
      </c>
      <c r="Z40" s="74" t="str">
        <f>IF(Z$9&lt;=Number_of_Periods,(1+Post_Tax_WACC)^-(SUM($J$8:Z$8)/Days_in_Year),"")</f>
        <v/>
      </c>
      <c r="AA40" s="74" t="str">
        <f>IF(AA$9&lt;=Number_of_Periods,(1+Post_Tax_WACC)^-(SUM($J$8:AA$8)/Days_in_Year),"")</f>
        <v/>
      </c>
      <c r="AB40" s="74" t="str">
        <f>IF(AB$9&lt;=Number_of_Periods,(1+Post_Tax_WACC)^-(SUM($J$8:AB$8)/Days_in_Year),"")</f>
        <v/>
      </c>
      <c r="AC40" s="74" t="str">
        <f>IF(AC$9&lt;=Number_of_Periods,(1+Post_Tax_WACC)^-(SUM($J$8:AC$8)/Days_in_Year),"")</f>
        <v/>
      </c>
    </row>
    <row r="41" spans="5:29" hidden="1" outlineLevel="2" x14ac:dyDescent="0.2">
      <c r="E41" s="66" t="str">
        <f>Timing_of_CashFlows&amp;" Chosen"</f>
        <v>Middle Chosen</v>
      </c>
      <c r="F41" s="71" t="str">
        <f>IF(Terminal_Value_Switch=Yes,"%","")</f>
        <v>%</v>
      </c>
      <c r="J41" s="75">
        <f t="shared" ref="J41:AC41" si="0">IF(J$9&lt;=Number_of_Periods,INDEX(J$38:J$40,MATCH(Timing_of_CashFlows,$E$38:$E$40,0)),"")</f>
        <v>0.95859547754672014</v>
      </c>
      <c r="K41" s="75">
        <f t="shared" si="0"/>
        <v>0.88096023146145541</v>
      </c>
      <c r="L41" s="75">
        <f t="shared" si="0"/>
        <v>0.80970609509324931</v>
      </c>
      <c r="M41" s="75">
        <f t="shared" si="0"/>
        <v>0.74421516093129536</v>
      </c>
      <c r="N41" s="75">
        <f t="shared" si="0"/>
        <v>0.6839422632256309</v>
      </c>
      <c r="O41" s="75">
        <f t="shared" si="0"/>
        <v>0.62855077937519011</v>
      </c>
      <c r="P41" s="75">
        <f t="shared" si="0"/>
        <v>0.57771211339631434</v>
      </c>
      <c r="Q41" s="75">
        <f t="shared" si="0"/>
        <v>0.53098539834220071</v>
      </c>
      <c r="R41" s="75" t="str">
        <f t="shared" si="0"/>
        <v/>
      </c>
      <c r="S41" s="75" t="str">
        <f t="shared" si="0"/>
        <v/>
      </c>
      <c r="T41" s="75" t="str">
        <f t="shared" si="0"/>
        <v/>
      </c>
      <c r="U41" s="75" t="str">
        <f t="shared" si="0"/>
        <v/>
      </c>
      <c r="V41" s="75" t="str">
        <f t="shared" si="0"/>
        <v/>
      </c>
      <c r="W41" s="75" t="str">
        <f t="shared" si="0"/>
        <v/>
      </c>
      <c r="X41" s="75" t="str">
        <f t="shared" si="0"/>
        <v/>
      </c>
      <c r="Y41" s="75" t="str">
        <f t="shared" si="0"/>
        <v/>
      </c>
      <c r="Z41" s="75" t="str">
        <f t="shared" si="0"/>
        <v/>
      </c>
      <c r="AA41" s="75" t="str">
        <f t="shared" si="0"/>
        <v/>
      </c>
      <c r="AB41" s="75" t="str">
        <f t="shared" si="0"/>
        <v/>
      </c>
      <c r="AC41" s="75" t="str">
        <f t="shared" si="0"/>
        <v/>
      </c>
    </row>
    <row r="42" spans="5:29" hidden="1" outlineLevel="2" x14ac:dyDescent="0.2"/>
    <row r="43" spans="5:29" hidden="1" outlineLevel="2" x14ac:dyDescent="0.2">
      <c r="E43" s="66" t="s">
        <v>121</v>
      </c>
    </row>
    <row r="44" spans="5:29" hidden="1" outlineLevel="2" x14ac:dyDescent="0.2">
      <c r="E44" s="63" t="str">
        <f>Start</f>
        <v>Start</v>
      </c>
      <c r="F44" s="71" t="str">
        <f>IF(Terminal_Value_Switch=Yes,"%","")</f>
        <v>%</v>
      </c>
      <c r="J44" s="74">
        <f>IF(J$9&lt;=Number_of_Periods,(1+Pre_Tax_WACC)^-(SUM($I$8:I$8)/Days_in_Year),"")</f>
        <v>1</v>
      </c>
      <c r="K44" s="74">
        <f>IF(K$9&lt;=Number_of_Periods,(1+Pre_Tax_WACC)^-(SUM($I$8:J$8)/Days_in_Year),"")</f>
        <v>0.89537651283574693</v>
      </c>
      <c r="L44" s="74">
        <f>IF(L$9&lt;=Number_of_Periods,(1+Pre_Tax_WACC)^-(SUM($I$8:K$8)/Days_in_Year),"")</f>
        <v>0.80194120333784447</v>
      </c>
      <c r="M44" s="74">
        <f>IF(M$9&lt;=Number_of_Periods,(1+Pre_Tax_WACC)^-(SUM($I$8:L$8)/Days_in_Year),"")</f>
        <v>0.71825615748413751</v>
      </c>
      <c r="N44" s="74">
        <f>IF(N$9&lt;=Number_of_Periods,(1+Pre_Tax_WACC)^-(SUM($I$8:M$8)/Days_in_Year),"")</f>
        <v>0.64330390509507396</v>
      </c>
      <c r="O44" s="74">
        <f>IF(O$9&lt;=Number_of_Periods,(1+Pre_Tax_WACC)^-(SUM($I$8:N$8)/Days_in_Year),"")</f>
        <v>0.57599920723764564</v>
      </c>
      <c r="P44" s="74">
        <f>IF(P$9&lt;=Number_of_Periods,(1+Pre_Tax_WACC)^-(SUM($I$8:O$8)/Days_in_Year),"")</f>
        <v>0.51589190776387817</v>
      </c>
      <c r="Q44" s="74">
        <f>IF(Q$9&lt;=Number_of_Periods,(1+Pre_Tax_WACC)^-(SUM($I$8:P$8)/Days_in_Year),"")</f>
        <v>0.46205699096812808</v>
      </c>
      <c r="R44" s="74" t="str">
        <f>IF(R$9&lt;=Number_of_Periods,(1+Pre_Tax_WACC)^-(SUM($I$8:Q$8)/Days_in_Year),"")</f>
        <v/>
      </c>
      <c r="S44" s="74" t="str">
        <f>IF(S$9&lt;=Number_of_Periods,(1+Pre_Tax_WACC)^-(SUM($I$8:R$8)/Days_in_Year),"")</f>
        <v/>
      </c>
      <c r="T44" s="74" t="str">
        <f>IF(T$9&lt;=Number_of_Periods,(1+Pre_Tax_WACC)^-(SUM($I$8:S$8)/Days_in_Year),"")</f>
        <v/>
      </c>
      <c r="U44" s="74" t="str">
        <f>IF(U$9&lt;=Number_of_Periods,(1+Pre_Tax_WACC)^-(SUM($I$8:T$8)/Days_in_Year),"")</f>
        <v/>
      </c>
      <c r="V44" s="74" t="str">
        <f>IF(V$9&lt;=Number_of_Periods,(1+Pre_Tax_WACC)^-(SUM($I$8:U$8)/Days_in_Year),"")</f>
        <v/>
      </c>
      <c r="W44" s="74" t="str">
        <f>IF(W$9&lt;=Number_of_Periods,(1+Pre_Tax_WACC)^-(SUM($I$8:V$8)/Days_in_Year),"")</f>
        <v/>
      </c>
      <c r="X44" s="74" t="str">
        <f>IF(X$9&lt;=Number_of_Periods,(1+Pre_Tax_WACC)^-(SUM($I$8:W$8)/Days_in_Year),"")</f>
        <v/>
      </c>
      <c r="Y44" s="74" t="str">
        <f>IF(Y$9&lt;=Number_of_Periods,(1+Pre_Tax_WACC)^-(SUM($I$8:X$8)/Days_in_Year),"")</f>
        <v/>
      </c>
      <c r="Z44" s="74" t="str">
        <f>IF(Z$9&lt;=Number_of_Periods,(1+Pre_Tax_WACC)^-(SUM($I$8:Y$8)/Days_in_Year),"")</f>
        <v/>
      </c>
      <c r="AA44" s="74" t="str">
        <f>IF(AA$9&lt;=Number_of_Periods,(1+Pre_Tax_WACC)^-(SUM($I$8:Z$8)/Days_in_Year),"")</f>
        <v/>
      </c>
      <c r="AB44" s="74" t="str">
        <f>IF(AB$9&lt;=Number_of_Periods,(1+Pre_Tax_WACC)^-(SUM($I$8:AA$8)/Days_in_Year),"")</f>
        <v/>
      </c>
      <c r="AC44" s="74" t="str">
        <f>IF(AC$9&lt;=Number_of_Periods,(1+Pre_Tax_WACC)^-(SUM($I$8:AB$8)/Days_in_Year),"")</f>
        <v/>
      </c>
    </row>
    <row r="45" spans="5:29" hidden="1" outlineLevel="2" x14ac:dyDescent="0.2">
      <c r="E45" s="63" t="str">
        <f>Middle</f>
        <v>Middle</v>
      </c>
      <c r="F45" s="71" t="str">
        <f>IF(Terminal_Value_Switch=Yes,"%","")</f>
        <v>%</v>
      </c>
      <c r="J45" s="74">
        <f>IF(J$9&lt;=Number_of_Periods,(1+Pre_Tax_WACC)^-((SUM($I$8:I$8)+SUM($J$8:J$8))/(2*Days_in_Year)),"")</f>
        <v>0.94624336871427905</v>
      </c>
      <c r="K45" s="74">
        <f>IF(K$9&lt;=Number_of_Periods,(1+Pre_Tax_WACC)^-((SUM($I$8:J$8)+SUM($J$8:K$8))/(2*Days_in_Year)),"")</f>
        <v>0.84737200693906689</v>
      </c>
      <c r="L45" s="74">
        <f>IF(L$9&lt;=Number_of_Periods,(1+Pre_Tax_WACC)^-((SUM($I$8:K$8)+SUM($J$8:L$8))/(2*Days_in_Year)),"")</f>
        <v>0.75894611616217234</v>
      </c>
      <c r="M45" s="74">
        <f>IF(M$9&lt;=Number_of_Periods,(1+Pre_Tax_WACC)^-((SUM($I$8:L$8)+SUM($J$8:M$8))/(2*Days_in_Year)),"")</f>
        <v>0.67974774068629906</v>
      </c>
      <c r="N45" s="74">
        <f>IF(N$9&lt;=Number_of_Periods,(1+Pre_Tax_WACC)^-((SUM($I$8:M$8)+SUM($J$8:N$8))/(2*Days_in_Year)),"")</f>
        <v>0.60872205426421366</v>
      </c>
      <c r="O45" s="74">
        <f>IF(O$9&lt;=Number_of_Periods,(1+Pre_Tax_WACC)^-((SUM($I$8:N$8)+SUM($J$8:O$8))/(2*Days_in_Year)),"")</f>
        <v>0.54511772113215173</v>
      </c>
      <c r="P45" s="74">
        <f>IF(P$9&lt;=Number_of_Periods,(1+Pre_Tax_WACC)^-((SUM($I$8:O$8)+SUM($J$8:P$8))/(2*Days_in_Year)),"")</f>
        <v>0.48823300028386507</v>
      </c>
      <c r="Q45" s="74">
        <f>IF(Q$9&lt;=Number_of_Periods,(1+Pre_Tax_WACC)^-((SUM($I$8:P$8)+SUM($J$8:Q$8))/(2*Days_in_Year)),"")</f>
        <v>0.43728437606304982</v>
      </c>
      <c r="R45" s="74" t="str">
        <f>IF(R$9&lt;=Number_of_Periods,(1+Pre_Tax_WACC)^-((SUM($I$8:Q$8)+SUM($J$8:R$8))/(2*Days_in_Year)),"")</f>
        <v/>
      </c>
      <c r="S45" s="74" t="str">
        <f>IF(S$9&lt;=Number_of_Periods,(1+Pre_Tax_WACC)^-((SUM($I$8:R$8)+SUM($J$8:S$8))/(2*Days_in_Year)),"")</f>
        <v/>
      </c>
      <c r="T45" s="74" t="str">
        <f>IF(T$9&lt;=Number_of_Periods,(1+Pre_Tax_WACC)^-((SUM($I$8:S$8)+SUM($J$8:T$8))/(2*Days_in_Year)),"")</f>
        <v/>
      </c>
      <c r="U45" s="74" t="str">
        <f>IF(U$9&lt;=Number_of_Periods,(1+Pre_Tax_WACC)^-((SUM($I$8:T$8)+SUM($J$8:U$8))/(2*Days_in_Year)),"")</f>
        <v/>
      </c>
      <c r="V45" s="74" t="str">
        <f>IF(V$9&lt;=Number_of_Periods,(1+Pre_Tax_WACC)^-((SUM($I$8:U$8)+SUM($J$8:V$8))/(2*Days_in_Year)),"")</f>
        <v/>
      </c>
      <c r="W45" s="74" t="str">
        <f>IF(W$9&lt;=Number_of_Periods,(1+Pre_Tax_WACC)^-((SUM($I$8:V$8)+SUM($J$8:W$8))/(2*Days_in_Year)),"")</f>
        <v/>
      </c>
      <c r="X45" s="74" t="str">
        <f>IF(X$9&lt;=Number_of_Periods,(1+Pre_Tax_WACC)^-((SUM($I$8:W$8)+SUM($J$8:X$8))/(2*Days_in_Year)),"")</f>
        <v/>
      </c>
      <c r="Y45" s="74" t="str">
        <f>IF(Y$9&lt;=Number_of_Periods,(1+Pre_Tax_WACC)^-((SUM($I$8:X$8)+SUM($J$8:Y$8))/(2*Days_in_Year)),"")</f>
        <v/>
      </c>
      <c r="Z45" s="74" t="str">
        <f>IF(Z$9&lt;=Number_of_Periods,(1+Pre_Tax_WACC)^-((SUM($I$8:Y$8)+SUM($J$8:Z$8))/(2*Days_in_Year)),"")</f>
        <v/>
      </c>
      <c r="AA45" s="74" t="str">
        <f>IF(AA$9&lt;=Number_of_Periods,(1+Pre_Tax_WACC)^-((SUM($I$8:Z$8)+SUM($J$8:AA$8))/(2*Days_in_Year)),"")</f>
        <v/>
      </c>
      <c r="AB45" s="74" t="str">
        <f>IF(AB$9&lt;=Number_of_Periods,(1+Pre_Tax_WACC)^-((SUM($I$8:AA$8)+SUM($J$8:AB$8))/(2*Days_in_Year)),"")</f>
        <v/>
      </c>
      <c r="AC45" s="74" t="str">
        <f>IF(AC$9&lt;=Number_of_Periods,(1+Pre_Tax_WACC)^-((SUM($I$8:AB$8)+SUM($J$8:AC$8))/(2*Days_in_Year)),"")</f>
        <v/>
      </c>
    </row>
    <row r="46" spans="5:29" hidden="1" outlineLevel="2" x14ac:dyDescent="0.2">
      <c r="E46" s="63" t="str">
        <f>End</f>
        <v>End</v>
      </c>
      <c r="F46" s="71" t="str">
        <f>IF(Terminal_Value_Switch=Yes,"%","")</f>
        <v>%</v>
      </c>
      <c r="J46" s="74">
        <f>IF(J$9&lt;=Number_of_Periods,(1+Pre_Tax_WACC)^-(SUM($J$8:J$8)/Days_in_Year),"")</f>
        <v>0.89537651283574693</v>
      </c>
      <c r="K46" s="74">
        <f>IF(K$9&lt;=Number_of_Periods,(1+Pre_Tax_WACC)^-(SUM($J$8:K$8)/Days_in_Year),"")</f>
        <v>0.80194120333784447</v>
      </c>
      <c r="L46" s="74">
        <f>IF(L$9&lt;=Number_of_Periods,(1+Pre_Tax_WACC)^-(SUM($J$8:L$8)/Days_in_Year),"")</f>
        <v>0.71825615748413751</v>
      </c>
      <c r="M46" s="74">
        <f>IF(M$9&lt;=Number_of_Periods,(1+Pre_Tax_WACC)^-(SUM($J$8:M$8)/Days_in_Year),"")</f>
        <v>0.64330390509507396</v>
      </c>
      <c r="N46" s="74">
        <f>IF(N$9&lt;=Number_of_Periods,(1+Pre_Tax_WACC)^-(SUM($J$8:N$8)/Days_in_Year),"")</f>
        <v>0.57599920723764564</v>
      </c>
      <c r="O46" s="74">
        <f>IF(O$9&lt;=Number_of_Periods,(1+Pre_Tax_WACC)^-(SUM($J$8:O$8)/Days_in_Year),"")</f>
        <v>0.51589190776387817</v>
      </c>
      <c r="P46" s="74">
        <f>IF(P$9&lt;=Number_of_Periods,(1+Pre_Tax_WACC)^-(SUM($J$8:P$8)/Days_in_Year),"")</f>
        <v>0.46205699096812808</v>
      </c>
      <c r="Q46" s="74">
        <f>IF(Q$9&lt;=Number_of_Periods,(1+Pre_Tax_WACC)^-(SUM($J$8:Q$8)/Days_in_Year),"")</f>
        <v>0.41383991431057182</v>
      </c>
      <c r="R46" s="74" t="str">
        <f>IF(R$9&lt;=Number_of_Periods,(1+Pre_Tax_WACC)^-(SUM($J$8:R$8)/Days_in_Year),"")</f>
        <v/>
      </c>
      <c r="S46" s="74" t="str">
        <f>IF(S$9&lt;=Number_of_Periods,(1+Pre_Tax_WACC)^-(SUM($J$8:S$8)/Days_in_Year),"")</f>
        <v/>
      </c>
      <c r="T46" s="74" t="str">
        <f>IF(T$9&lt;=Number_of_Periods,(1+Pre_Tax_WACC)^-(SUM($J$8:T$8)/Days_in_Year),"")</f>
        <v/>
      </c>
      <c r="U46" s="74" t="str">
        <f>IF(U$9&lt;=Number_of_Periods,(1+Pre_Tax_WACC)^-(SUM($J$8:U$8)/Days_in_Year),"")</f>
        <v/>
      </c>
      <c r="V46" s="74" t="str">
        <f>IF(V$9&lt;=Number_of_Periods,(1+Pre_Tax_WACC)^-(SUM($J$8:V$8)/Days_in_Year),"")</f>
        <v/>
      </c>
      <c r="W46" s="74" t="str">
        <f>IF(W$9&lt;=Number_of_Periods,(1+Pre_Tax_WACC)^-(SUM($J$8:W$8)/Days_in_Year),"")</f>
        <v/>
      </c>
      <c r="X46" s="74" t="str">
        <f>IF(X$9&lt;=Number_of_Periods,(1+Pre_Tax_WACC)^-(SUM($J$8:X$8)/Days_in_Year),"")</f>
        <v/>
      </c>
      <c r="Y46" s="74" t="str">
        <f>IF(Y$9&lt;=Number_of_Periods,(1+Pre_Tax_WACC)^-(SUM($J$8:Y$8)/Days_in_Year),"")</f>
        <v/>
      </c>
      <c r="Z46" s="74" t="str">
        <f>IF(Z$9&lt;=Number_of_Periods,(1+Pre_Tax_WACC)^-(SUM($J$8:Z$8)/Days_in_Year),"")</f>
        <v/>
      </c>
      <c r="AA46" s="74" t="str">
        <f>IF(AA$9&lt;=Number_of_Periods,(1+Pre_Tax_WACC)^-(SUM($J$8:AA$8)/Days_in_Year),"")</f>
        <v/>
      </c>
      <c r="AB46" s="74" t="str">
        <f>IF(AB$9&lt;=Number_of_Periods,(1+Pre_Tax_WACC)^-(SUM($J$8:AB$8)/Days_in_Year),"")</f>
        <v/>
      </c>
      <c r="AC46" s="74" t="str">
        <f>IF(AC$9&lt;=Number_of_Periods,(1+Pre_Tax_WACC)^-(SUM($J$8:AC$8)/Days_in_Year),"")</f>
        <v/>
      </c>
    </row>
    <row r="47" spans="5:29" hidden="1" outlineLevel="2" x14ac:dyDescent="0.2">
      <c r="E47" s="66" t="str">
        <f>Timing_of_CashFlows&amp;" Chosen"</f>
        <v>Middle Chosen</v>
      </c>
      <c r="F47" s="71" t="str">
        <f>IF(Terminal_Value_Switch=Yes,"%","")</f>
        <v>%</v>
      </c>
      <c r="J47" s="75">
        <f t="shared" ref="J47:AC47" si="1">IF(J$9&lt;=Number_of_Periods,INDEX(J$44:J$46,MATCH(Timing_of_CashFlows,$E$44:$E$46,0)),"")</f>
        <v>0.94624336871427905</v>
      </c>
      <c r="K47" s="75">
        <f t="shared" si="1"/>
        <v>0.84737200693906689</v>
      </c>
      <c r="L47" s="75">
        <f t="shared" si="1"/>
        <v>0.75894611616217234</v>
      </c>
      <c r="M47" s="75">
        <f t="shared" si="1"/>
        <v>0.67974774068629906</v>
      </c>
      <c r="N47" s="75">
        <f t="shared" si="1"/>
        <v>0.60872205426421366</v>
      </c>
      <c r="O47" s="75">
        <f t="shared" si="1"/>
        <v>0.54511772113215173</v>
      </c>
      <c r="P47" s="75">
        <f t="shared" si="1"/>
        <v>0.48823300028386507</v>
      </c>
      <c r="Q47" s="75">
        <f t="shared" si="1"/>
        <v>0.43728437606304982</v>
      </c>
      <c r="R47" s="75" t="str">
        <f t="shared" si="1"/>
        <v/>
      </c>
      <c r="S47" s="75" t="str">
        <f t="shared" si="1"/>
        <v/>
      </c>
      <c r="T47" s="75" t="str">
        <f t="shared" si="1"/>
        <v/>
      </c>
      <c r="U47" s="75" t="str">
        <f t="shared" si="1"/>
        <v/>
      </c>
      <c r="V47" s="75" t="str">
        <f t="shared" si="1"/>
        <v/>
      </c>
      <c r="W47" s="75" t="str">
        <f t="shared" si="1"/>
        <v/>
      </c>
      <c r="X47" s="75" t="str">
        <f t="shared" si="1"/>
        <v/>
      </c>
      <c r="Y47" s="75" t="str">
        <f t="shared" si="1"/>
        <v/>
      </c>
      <c r="Z47" s="75" t="str">
        <f t="shared" si="1"/>
        <v/>
      </c>
      <c r="AA47" s="75" t="str">
        <f t="shared" si="1"/>
        <v/>
      </c>
      <c r="AB47" s="75" t="str">
        <f t="shared" si="1"/>
        <v/>
      </c>
      <c r="AC47" s="75" t="str">
        <f t="shared" si="1"/>
        <v/>
      </c>
    </row>
    <row r="48" spans="5:29" hidden="1" outlineLevel="2" x14ac:dyDescent="0.2"/>
    <row r="49" spans="2:30" outlineLevel="1" x14ac:dyDescent="0.2"/>
    <row r="50" spans="2:30" ht="15" outlineLevel="1" x14ac:dyDescent="0.25">
      <c r="D50" s="5" t="s">
        <v>89</v>
      </c>
    </row>
    <row r="51" spans="2:30" outlineLevel="1" x14ac:dyDescent="0.2"/>
    <row r="52" spans="2:30" outlineLevel="1" x14ac:dyDescent="0.2">
      <c r="E52" s="63" t="s">
        <v>118</v>
      </c>
      <c r="F52" s="68" t="s">
        <v>119</v>
      </c>
      <c r="J52" s="73">
        <v>100</v>
      </c>
      <c r="K52" s="73">
        <v>100</v>
      </c>
      <c r="L52" s="73">
        <v>100</v>
      </c>
      <c r="M52" s="73">
        <v>100</v>
      </c>
      <c r="N52" s="73">
        <v>100</v>
      </c>
      <c r="O52" s="73">
        <v>100</v>
      </c>
      <c r="P52" s="73">
        <v>100</v>
      </c>
      <c r="Q52" s="73">
        <v>100</v>
      </c>
      <c r="R52" s="73">
        <v>100</v>
      </c>
      <c r="S52" s="73">
        <v>100</v>
      </c>
      <c r="T52" s="73">
        <v>100</v>
      </c>
      <c r="U52" s="73">
        <v>100</v>
      </c>
      <c r="V52" s="73">
        <v>100</v>
      </c>
      <c r="W52" s="73">
        <v>100</v>
      </c>
      <c r="X52" s="73">
        <v>100</v>
      </c>
      <c r="Y52" s="73">
        <v>100</v>
      </c>
      <c r="Z52" s="73">
        <v>100</v>
      </c>
      <c r="AA52" s="73">
        <v>100</v>
      </c>
      <c r="AB52" s="73">
        <v>100</v>
      </c>
      <c r="AC52" s="73">
        <v>100</v>
      </c>
    </row>
    <row r="53" spans="2:30" outlineLevel="1" x14ac:dyDescent="0.2"/>
    <row r="54" spans="2:30" outlineLevel="1" x14ac:dyDescent="0.2"/>
    <row r="55" spans="2:30" ht="16.5" thickBot="1" x14ac:dyDescent="0.3">
      <c r="B55" s="51">
        <f>MAX($B$10:$B54)+1</f>
        <v>2</v>
      </c>
      <c r="C55" s="46" t="s">
        <v>122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2:30" ht="12.75" outlineLevel="1" thickTop="1" x14ac:dyDescent="0.2"/>
    <row r="57" spans="2:30" ht="16.5" outlineLevel="1" x14ac:dyDescent="0.25">
      <c r="C57" s="4" t="s">
        <v>123</v>
      </c>
    </row>
    <row r="58" spans="2:30" outlineLevel="1" x14ac:dyDescent="0.2"/>
    <row r="59" spans="2:30" ht="15" outlineLevel="1" x14ac:dyDescent="0.25">
      <c r="D59" s="5" t="s">
        <v>124</v>
      </c>
    </row>
    <row r="60" spans="2:30" outlineLevel="1" x14ac:dyDescent="0.2"/>
    <row r="61" spans="2:30" outlineLevel="1" x14ac:dyDescent="0.2">
      <c r="E61" s="63" t="str">
        <f>E52</f>
        <v>Pre-Tax Cash Flows</v>
      </c>
      <c r="F61" s="68" t="str">
        <f>F52</f>
        <v>$'000</v>
      </c>
      <c r="J61" s="40">
        <f t="shared" ref="J61:AC61" si="2">IF(J$9&lt;=Number_of_Periods,J$52,"")</f>
        <v>100</v>
      </c>
      <c r="K61" s="40">
        <f t="shared" si="2"/>
        <v>100</v>
      </c>
      <c r="L61" s="40">
        <f t="shared" si="2"/>
        <v>100</v>
      </c>
      <c r="M61" s="40">
        <f t="shared" si="2"/>
        <v>100</v>
      </c>
      <c r="N61" s="40">
        <f t="shared" si="2"/>
        <v>100</v>
      </c>
      <c r="O61" s="40">
        <f t="shared" si="2"/>
        <v>100</v>
      </c>
      <c r="P61" s="40">
        <f t="shared" si="2"/>
        <v>100</v>
      </c>
      <c r="Q61" s="40">
        <f t="shared" si="2"/>
        <v>100</v>
      </c>
      <c r="R61" s="40" t="str">
        <f t="shared" si="2"/>
        <v/>
      </c>
      <c r="S61" s="40" t="str">
        <f t="shared" si="2"/>
        <v/>
      </c>
      <c r="T61" s="40" t="str">
        <f t="shared" si="2"/>
        <v/>
      </c>
      <c r="U61" s="40" t="str">
        <f t="shared" si="2"/>
        <v/>
      </c>
      <c r="V61" s="40" t="str">
        <f t="shared" si="2"/>
        <v/>
      </c>
      <c r="W61" s="40" t="str">
        <f t="shared" si="2"/>
        <v/>
      </c>
      <c r="X61" s="40" t="str">
        <f t="shared" si="2"/>
        <v/>
      </c>
      <c r="Y61" s="40" t="str">
        <f t="shared" si="2"/>
        <v/>
      </c>
      <c r="Z61" s="40" t="str">
        <f t="shared" si="2"/>
        <v/>
      </c>
      <c r="AA61" s="40" t="str">
        <f t="shared" si="2"/>
        <v/>
      </c>
      <c r="AB61" s="40" t="str">
        <f t="shared" si="2"/>
        <v/>
      </c>
      <c r="AC61" s="40" t="str">
        <f t="shared" si="2"/>
        <v/>
      </c>
    </row>
    <row r="62" spans="2:30" outlineLevel="1" x14ac:dyDescent="0.2">
      <c r="E62" s="63" t="s">
        <v>125</v>
      </c>
      <c r="F62" s="68" t="str">
        <f>F61</f>
        <v>$'000</v>
      </c>
      <c r="J62" s="40" t="str">
        <f t="shared" ref="J62:AC62" ca="1" si="3">IF(AND(J$9&lt;=Number_of_Periods,J$9-Tax_Delay&gt;0),-OFFSET(J61,,-Tax_Delay)*Tax_Rate,"")</f>
        <v/>
      </c>
      <c r="K62" s="40">
        <f t="shared" ca="1" si="3"/>
        <v>-30</v>
      </c>
      <c r="L62" s="40">
        <f t="shared" ca="1" si="3"/>
        <v>-30</v>
      </c>
      <c r="M62" s="40">
        <f t="shared" ca="1" si="3"/>
        <v>-30</v>
      </c>
      <c r="N62" s="40">
        <f t="shared" ca="1" si="3"/>
        <v>-30</v>
      </c>
      <c r="O62" s="40">
        <f t="shared" ca="1" si="3"/>
        <v>-30</v>
      </c>
      <c r="P62" s="40">
        <f t="shared" ca="1" si="3"/>
        <v>-30</v>
      </c>
      <c r="Q62" s="40">
        <f t="shared" ca="1" si="3"/>
        <v>-30</v>
      </c>
      <c r="R62" s="40" t="str">
        <f t="shared" ca="1" si="3"/>
        <v/>
      </c>
      <c r="S62" s="40" t="str">
        <f t="shared" ca="1" si="3"/>
        <v/>
      </c>
      <c r="T62" s="40" t="str">
        <f t="shared" ca="1" si="3"/>
        <v/>
      </c>
      <c r="U62" s="40" t="str">
        <f t="shared" ca="1" si="3"/>
        <v/>
      </c>
      <c r="V62" s="40" t="str">
        <f t="shared" ca="1" si="3"/>
        <v/>
      </c>
      <c r="W62" s="40" t="str">
        <f t="shared" ca="1" si="3"/>
        <v/>
      </c>
      <c r="X62" s="40" t="str">
        <f t="shared" ca="1" si="3"/>
        <v/>
      </c>
      <c r="Y62" s="40" t="str">
        <f t="shared" ca="1" si="3"/>
        <v/>
      </c>
      <c r="Z62" s="40" t="str">
        <f t="shared" ca="1" si="3"/>
        <v/>
      </c>
      <c r="AA62" s="40" t="str">
        <f t="shared" ca="1" si="3"/>
        <v/>
      </c>
      <c r="AB62" s="40" t="str">
        <f t="shared" ca="1" si="3"/>
        <v/>
      </c>
      <c r="AC62" s="40" t="str">
        <f t="shared" ca="1" si="3"/>
        <v/>
      </c>
    </row>
    <row r="63" spans="2:30" outlineLevel="1" x14ac:dyDescent="0.2">
      <c r="E63" s="63" t="str">
        <f>E$24</f>
        <v>Terminal Value</v>
      </c>
      <c r="F63" s="68" t="str">
        <f>F62</f>
        <v>$'000</v>
      </c>
      <c r="J63" s="40" t="str">
        <f t="shared" ref="J63:AC63" si="4">IF(AND(J$9=Number_of_Periods,Terminal_Value_Switch=Yes),SUM(J61:J62)*(1+Growth_Rate_in_Perpetuity)/(Post_Tax_WACC-Growth_Rate_in_Perpetuity),"")</f>
        <v/>
      </c>
      <c r="K63" s="40" t="str">
        <f t="shared" si="4"/>
        <v/>
      </c>
      <c r="L63" s="40" t="str">
        <f t="shared" si="4"/>
        <v/>
      </c>
      <c r="M63" s="40" t="str">
        <f t="shared" si="4"/>
        <v/>
      </c>
      <c r="N63" s="40" t="str">
        <f t="shared" si="4"/>
        <v/>
      </c>
      <c r="O63" s="40" t="str">
        <f t="shared" si="4"/>
        <v/>
      </c>
      <c r="P63" s="40" t="str">
        <f t="shared" si="4"/>
        <v/>
      </c>
      <c r="Q63" s="40">
        <f t="shared" ca="1" si="4"/>
        <v>1050.0000000000002</v>
      </c>
      <c r="R63" s="40" t="str">
        <f t="shared" si="4"/>
        <v/>
      </c>
      <c r="S63" s="40" t="str">
        <f t="shared" si="4"/>
        <v/>
      </c>
      <c r="T63" s="40" t="str">
        <f t="shared" si="4"/>
        <v/>
      </c>
      <c r="U63" s="40" t="str">
        <f t="shared" si="4"/>
        <v/>
      </c>
      <c r="V63" s="40" t="str">
        <f t="shared" si="4"/>
        <v/>
      </c>
      <c r="W63" s="40" t="str">
        <f t="shared" si="4"/>
        <v/>
      </c>
      <c r="X63" s="40" t="str">
        <f t="shared" si="4"/>
        <v/>
      </c>
      <c r="Y63" s="40" t="str">
        <f t="shared" si="4"/>
        <v/>
      </c>
      <c r="Z63" s="40" t="str">
        <f t="shared" si="4"/>
        <v/>
      </c>
      <c r="AA63" s="40" t="str">
        <f t="shared" si="4"/>
        <v/>
      </c>
      <c r="AB63" s="40" t="str">
        <f t="shared" si="4"/>
        <v/>
      </c>
      <c r="AC63" s="40" t="str">
        <f t="shared" si="4"/>
        <v/>
      </c>
    </row>
    <row r="64" spans="2:30" outlineLevel="1" x14ac:dyDescent="0.2"/>
    <row r="65" spans="2:30" outlineLevel="1" x14ac:dyDescent="0.2">
      <c r="E65" s="63" t="s">
        <v>126</v>
      </c>
      <c r="F65" s="68" t="str">
        <f>F63</f>
        <v>$'000</v>
      </c>
      <c r="J65" s="78">
        <f ca="1">SUM(J61:J63)</f>
        <v>100</v>
      </c>
      <c r="K65" s="78">
        <f t="shared" ref="K65:AC65" ca="1" si="5">SUM(K61:K63)</f>
        <v>70</v>
      </c>
      <c r="L65" s="78">
        <f t="shared" ca="1" si="5"/>
        <v>70</v>
      </c>
      <c r="M65" s="78">
        <f t="shared" ca="1" si="5"/>
        <v>70</v>
      </c>
      <c r="N65" s="78">
        <f t="shared" ca="1" si="5"/>
        <v>70</v>
      </c>
      <c r="O65" s="78">
        <f t="shared" ca="1" si="5"/>
        <v>70</v>
      </c>
      <c r="P65" s="78">
        <f t="shared" ca="1" si="5"/>
        <v>70</v>
      </c>
      <c r="Q65" s="78">
        <f t="shared" ca="1" si="5"/>
        <v>1120.0000000000002</v>
      </c>
      <c r="R65" s="78">
        <f t="shared" ca="1" si="5"/>
        <v>0</v>
      </c>
      <c r="S65" s="78">
        <f t="shared" ca="1" si="5"/>
        <v>0</v>
      </c>
      <c r="T65" s="78">
        <f t="shared" ca="1" si="5"/>
        <v>0</v>
      </c>
      <c r="U65" s="78">
        <f t="shared" ca="1" si="5"/>
        <v>0</v>
      </c>
      <c r="V65" s="78">
        <f t="shared" ca="1" si="5"/>
        <v>0</v>
      </c>
      <c r="W65" s="78">
        <f t="shared" ca="1" si="5"/>
        <v>0</v>
      </c>
      <c r="X65" s="78">
        <f t="shared" ca="1" si="5"/>
        <v>0</v>
      </c>
      <c r="Y65" s="78">
        <f t="shared" ca="1" si="5"/>
        <v>0</v>
      </c>
      <c r="Z65" s="78">
        <f t="shared" ca="1" si="5"/>
        <v>0</v>
      </c>
      <c r="AA65" s="78">
        <f t="shared" ca="1" si="5"/>
        <v>0</v>
      </c>
      <c r="AB65" s="78">
        <f t="shared" ca="1" si="5"/>
        <v>0</v>
      </c>
      <c r="AC65" s="78">
        <f t="shared" ca="1" si="5"/>
        <v>0</v>
      </c>
    </row>
    <row r="66" spans="2:30" outlineLevel="1" x14ac:dyDescent="0.2"/>
    <row r="67" spans="2:30" outlineLevel="1" x14ac:dyDescent="0.2">
      <c r="E67" s="63" t="s">
        <v>127</v>
      </c>
      <c r="F67" s="68" t="s">
        <v>94</v>
      </c>
      <c r="J67" s="79">
        <f t="shared" ref="J67:AC67" si="6">IF(J$9&lt;=Number_of_Periods,J$41,"")</f>
        <v>0.95859547754672014</v>
      </c>
      <c r="K67" s="79">
        <f t="shared" si="6"/>
        <v>0.88096023146145541</v>
      </c>
      <c r="L67" s="79">
        <f t="shared" si="6"/>
        <v>0.80970609509324931</v>
      </c>
      <c r="M67" s="79">
        <f t="shared" si="6"/>
        <v>0.74421516093129536</v>
      </c>
      <c r="N67" s="79">
        <f t="shared" si="6"/>
        <v>0.6839422632256309</v>
      </c>
      <c r="O67" s="79">
        <f t="shared" si="6"/>
        <v>0.62855077937519011</v>
      </c>
      <c r="P67" s="79">
        <f t="shared" si="6"/>
        <v>0.57771211339631434</v>
      </c>
      <c r="Q67" s="79">
        <f t="shared" si="6"/>
        <v>0.53098539834220071</v>
      </c>
      <c r="R67" s="79" t="str">
        <f t="shared" si="6"/>
        <v/>
      </c>
      <c r="S67" s="79" t="str">
        <f t="shared" si="6"/>
        <v/>
      </c>
      <c r="T67" s="79" t="str">
        <f t="shared" si="6"/>
        <v/>
      </c>
      <c r="U67" s="79" t="str">
        <f t="shared" si="6"/>
        <v/>
      </c>
      <c r="V67" s="79" t="str">
        <f t="shared" si="6"/>
        <v/>
      </c>
      <c r="W67" s="79" t="str">
        <f t="shared" si="6"/>
        <v/>
      </c>
      <c r="X67" s="79" t="str">
        <f t="shared" si="6"/>
        <v/>
      </c>
      <c r="Y67" s="79" t="str">
        <f t="shared" si="6"/>
        <v/>
      </c>
      <c r="Z67" s="79" t="str">
        <f t="shared" si="6"/>
        <v/>
      </c>
      <c r="AA67" s="79" t="str">
        <f t="shared" si="6"/>
        <v/>
      </c>
      <c r="AB67" s="79" t="str">
        <f t="shared" si="6"/>
        <v/>
      </c>
      <c r="AC67" s="79" t="str">
        <f t="shared" si="6"/>
        <v/>
      </c>
    </row>
    <row r="68" spans="2:30" outlineLevel="1" x14ac:dyDescent="0.2"/>
    <row r="69" spans="2:30" outlineLevel="1" x14ac:dyDescent="0.2">
      <c r="E69" s="63" t="s">
        <v>128</v>
      </c>
      <c r="F69" s="68" t="str">
        <f>F65</f>
        <v>$'000</v>
      </c>
      <c r="J69" s="76">
        <f t="shared" ref="J69:AC69" ca="1" si="7">IF(J$9&lt;=Number_of_Periods,J65*J67,"")</f>
        <v>95.859547754672008</v>
      </c>
      <c r="K69" s="76">
        <f t="shared" ca="1" si="7"/>
        <v>61.66721620230188</v>
      </c>
      <c r="L69" s="76">
        <f t="shared" ca="1" si="7"/>
        <v>56.679426656527454</v>
      </c>
      <c r="M69" s="76">
        <f t="shared" ca="1" si="7"/>
        <v>52.095061265190672</v>
      </c>
      <c r="N69" s="76">
        <f t="shared" ca="1" si="7"/>
        <v>47.87595842579416</v>
      </c>
      <c r="O69" s="76">
        <f t="shared" ca="1" si="7"/>
        <v>43.998554556263308</v>
      </c>
      <c r="P69" s="76">
        <f t="shared" ca="1" si="7"/>
        <v>40.439847937742002</v>
      </c>
      <c r="Q69" s="76">
        <f t="shared" ca="1" si="7"/>
        <v>594.7036461432649</v>
      </c>
      <c r="R69" s="76" t="str">
        <f t="shared" si="7"/>
        <v/>
      </c>
      <c r="S69" s="76" t="str">
        <f t="shared" si="7"/>
        <v/>
      </c>
      <c r="T69" s="76" t="str">
        <f t="shared" si="7"/>
        <v/>
      </c>
      <c r="U69" s="76" t="str">
        <f t="shared" si="7"/>
        <v/>
      </c>
      <c r="V69" s="76" t="str">
        <f t="shared" si="7"/>
        <v/>
      </c>
      <c r="W69" s="76" t="str">
        <f t="shared" si="7"/>
        <v/>
      </c>
      <c r="X69" s="76" t="str">
        <f t="shared" si="7"/>
        <v/>
      </c>
      <c r="Y69" s="76" t="str">
        <f t="shared" si="7"/>
        <v/>
      </c>
      <c r="Z69" s="76" t="str">
        <f t="shared" si="7"/>
        <v/>
      </c>
      <c r="AA69" s="76" t="str">
        <f t="shared" si="7"/>
        <v/>
      </c>
      <c r="AB69" s="76" t="str">
        <f t="shared" si="7"/>
        <v/>
      </c>
      <c r="AC69" s="76" t="str">
        <f t="shared" si="7"/>
        <v/>
      </c>
    </row>
    <row r="70" spans="2:30" outlineLevel="1" x14ac:dyDescent="0.2"/>
    <row r="71" spans="2:30" ht="12.75" outlineLevel="1" thickBot="1" x14ac:dyDescent="0.25">
      <c r="E71" s="66" t="s">
        <v>129</v>
      </c>
      <c r="F71" s="68" t="str">
        <f>F69</f>
        <v>$'000</v>
      </c>
      <c r="I71" s="77">
        <f ca="1">SUM(J69:AC69)</f>
        <v>993.3192589417564</v>
      </c>
    </row>
    <row r="72" spans="2:30" ht="12.75" outlineLevel="1" thickTop="1" x14ac:dyDescent="0.2"/>
    <row r="73" spans="2:30" ht="12.75" outlineLevel="1" x14ac:dyDescent="0.2">
      <c r="E73" s="63" t="s">
        <v>136</v>
      </c>
      <c r="F73" s="68" t="str">
        <f>F24</f>
        <v>[1,0]</v>
      </c>
      <c r="G73" s="81">
        <f ca="1">AND(Terminal_Value_Switch=Yes,(SUMPRODUCT(J63:AC63,J67:AC67)/I71)&gt;TV_Tolerance)*1</f>
        <v>0</v>
      </c>
    </row>
    <row r="74" spans="2:30" outlineLevel="1" x14ac:dyDescent="0.2"/>
    <row r="75" spans="2:30" outlineLevel="1" x14ac:dyDescent="0.2"/>
    <row r="76" spans="2:30" ht="16.5" thickBot="1" x14ac:dyDescent="0.3">
      <c r="B76" s="51">
        <f>MAX($B$10:$B75)+1</f>
        <v>3</v>
      </c>
      <c r="C76" s="46" t="s">
        <v>130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2:30" ht="12.75" outlineLevel="1" thickTop="1" x14ac:dyDescent="0.2"/>
    <row r="78" spans="2:30" ht="16.5" outlineLevel="1" x14ac:dyDescent="0.25">
      <c r="C78" s="4" t="s">
        <v>132</v>
      </c>
    </row>
    <row r="79" spans="2:30" outlineLevel="1" x14ac:dyDescent="0.2"/>
    <row r="80" spans="2:30" ht="15" outlineLevel="1" x14ac:dyDescent="0.25">
      <c r="D80" s="5" t="s">
        <v>85</v>
      </c>
    </row>
    <row r="81" spans="3:29" outlineLevel="1" x14ac:dyDescent="0.2"/>
    <row r="82" spans="3:29" outlineLevel="1" x14ac:dyDescent="0.2">
      <c r="E82" s="63" t="s">
        <v>86</v>
      </c>
      <c r="F82" s="37" t="s">
        <v>91</v>
      </c>
      <c r="G82" s="80">
        <f>PreTax_Cost_of_Debt</f>
        <v>0.08</v>
      </c>
    </row>
    <row r="83" spans="3:29" outlineLevel="1" x14ac:dyDescent="0.2">
      <c r="E83" s="63" t="s">
        <v>133</v>
      </c>
      <c r="F83" s="37" t="s">
        <v>91</v>
      </c>
      <c r="G83" s="65">
        <v>0.15302284284435153</v>
      </c>
    </row>
    <row r="84" spans="3:29" outlineLevel="1" x14ac:dyDescent="0.2">
      <c r="E84" s="63" t="s">
        <v>90</v>
      </c>
      <c r="F84" s="37" t="s">
        <v>91</v>
      </c>
      <c r="G84" s="80">
        <f>Proportion_of_Debt</f>
        <v>0.5</v>
      </c>
    </row>
    <row r="85" spans="3:29" outlineLevel="1" x14ac:dyDescent="0.2"/>
    <row r="86" spans="3:29" outlineLevel="1" x14ac:dyDescent="0.2">
      <c r="E86" s="66" t="s">
        <v>142</v>
      </c>
      <c r="F86" s="37" t="s">
        <v>91</v>
      </c>
      <c r="G86" s="67">
        <f>(PreTax_Cost_of_Debt*Proportion_of_Debt)+(PreTax_Cost_of_Equity*(1-Proportion_of_Debt))</f>
        <v>0.11651142142217577</v>
      </c>
    </row>
    <row r="87" spans="3:29" outlineLevel="1" x14ac:dyDescent="0.2"/>
    <row r="88" spans="3:29" outlineLevel="1" x14ac:dyDescent="0.2"/>
    <row r="89" spans="3:29" ht="16.5" outlineLevel="1" x14ac:dyDescent="0.25">
      <c r="C89" s="4" t="s">
        <v>123</v>
      </c>
    </row>
    <row r="90" spans="3:29" outlineLevel="1" x14ac:dyDescent="0.2"/>
    <row r="91" spans="3:29" ht="15" outlineLevel="1" x14ac:dyDescent="0.25">
      <c r="D91" s="5" t="s">
        <v>131</v>
      </c>
    </row>
    <row r="92" spans="3:29" outlineLevel="1" x14ac:dyDescent="0.2"/>
    <row r="93" spans="3:29" outlineLevel="1" x14ac:dyDescent="0.2">
      <c r="E93" s="63" t="str">
        <f>E61</f>
        <v>Pre-Tax Cash Flows</v>
      </c>
      <c r="F93" s="68" t="str">
        <f>F71</f>
        <v>$'000</v>
      </c>
      <c r="J93" s="40">
        <f t="shared" ref="J93:AC93" si="8">IF(J$9&lt;=Number_of_Periods,J$52,"")</f>
        <v>100</v>
      </c>
      <c r="K93" s="40">
        <f t="shared" si="8"/>
        <v>100</v>
      </c>
      <c r="L93" s="40">
        <f t="shared" si="8"/>
        <v>100</v>
      </c>
      <c r="M93" s="40">
        <f t="shared" si="8"/>
        <v>100</v>
      </c>
      <c r="N93" s="40">
        <f t="shared" si="8"/>
        <v>100</v>
      </c>
      <c r="O93" s="40">
        <f t="shared" si="8"/>
        <v>100</v>
      </c>
      <c r="P93" s="40">
        <f t="shared" si="8"/>
        <v>100</v>
      </c>
      <c r="Q93" s="40">
        <f t="shared" si="8"/>
        <v>100</v>
      </c>
      <c r="R93" s="40" t="str">
        <f t="shared" si="8"/>
        <v/>
      </c>
      <c r="S93" s="40" t="str">
        <f t="shared" si="8"/>
        <v/>
      </c>
      <c r="T93" s="40" t="str">
        <f t="shared" si="8"/>
        <v/>
      </c>
      <c r="U93" s="40" t="str">
        <f t="shared" si="8"/>
        <v/>
      </c>
      <c r="V93" s="40" t="str">
        <f t="shared" si="8"/>
        <v/>
      </c>
      <c r="W93" s="40" t="str">
        <f t="shared" si="8"/>
        <v/>
      </c>
      <c r="X93" s="40" t="str">
        <f t="shared" si="8"/>
        <v/>
      </c>
      <c r="Y93" s="40" t="str">
        <f t="shared" si="8"/>
        <v/>
      </c>
      <c r="Z93" s="40" t="str">
        <f t="shared" si="8"/>
        <v/>
      </c>
      <c r="AA93" s="40" t="str">
        <f t="shared" si="8"/>
        <v/>
      </c>
      <c r="AB93" s="40" t="str">
        <f t="shared" si="8"/>
        <v/>
      </c>
      <c r="AC93" s="40" t="str">
        <f t="shared" si="8"/>
        <v/>
      </c>
    </row>
    <row r="94" spans="3:29" outlineLevel="1" x14ac:dyDescent="0.2">
      <c r="E94" s="63" t="str">
        <f>E$24</f>
        <v>Terminal Value</v>
      </c>
      <c r="F94" s="68" t="str">
        <f>F93</f>
        <v>$'000</v>
      </c>
      <c r="J94" s="40" t="str">
        <f t="shared" ref="J94:AC94" si="9">IF(AND(J$9=Number_of_Periods,Terminal_Value_Switch=Yes),J93*(1+Growth_Rate_in_Perpetuity)/(Pre_Tax_WACC-Growth_Rate_in_Perpetuity),"")</f>
        <v/>
      </c>
      <c r="K94" s="40" t="str">
        <f t="shared" si="9"/>
        <v/>
      </c>
      <c r="L94" s="40" t="str">
        <f t="shared" si="9"/>
        <v/>
      </c>
      <c r="M94" s="40" t="str">
        <f t="shared" si="9"/>
        <v/>
      </c>
      <c r="N94" s="40" t="str">
        <f t="shared" si="9"/>
        <v/>
      </c>
      <c r="O94" s="40" t="str">
        <f t="shared" si="9"/>
        <v/>
      </c>
      <c r="P94" s="40" t="str">
        <f t="shared" si="9"/>
        <v/>
      </c>
      <c r="Q94" s="40">
        <f t="shared" si="9"/>
        <v>1056.8697310323014</v>
      </c>
      <c r="R94" s="40" t="str">
        <f t="shared" si="9"/>
        <v/>
      </c>
      <c r="S94" s="40" t="str">
        <f t="shared" si="9"/>
        <v/>
      </c>
      <c r="T94" s="40" t="str">
        <f t="shared" si="9"/>
        <v/>
      </c>
      <c r="U94" s="40" t="str">
        <f t="shared" si="9"/>
        <v/>
      </c>
      <c r="V94" s="40" t="str">
        <f t="shared" si="9"/>
        <v/>
      </c>
      <c r="W94" s="40" t="str">
        <f t="shared" si="9"/>
        <v/>
      </c>
      <c r="X94" s="40" t="str">
        <f t="shared" si="9"/>
        <v/>
      </c>
      <c r="Y94" s="40" t="str">
        <f t="shared" si="9"/>
        <v/>
      </c>
      <c r="Z94" s="40" t="str">
        <f t="shared" si="9"/>
        <v/>
      </c>
      <c r="AA94" s="40" t="str">
        <f t="shared" si="9"/>
        <v/>
      </c>
      <c r="AB94" s="40" t="str">
        <f t="shared" si="9"/>
        <v/>
      </c>
      <c r="AC94" s="40" t="str">
        <f t="shared" si="9"/>
        <v/>
      </c>
    </row>
    <row r="95" spans="3:29" outlineLevel="1" x14ac:dyDescent="0.2"/>
    <row r="96" spans="3:29" outlineLevel="1" x14ac:dyDescent="0.2">
      <c r="E96" s="63" t="s">
        <v>126</v>
      </c>
      <c r="F96" s="68" t="str">
        <f>F94</f>
        <v>$'000</v>
      </c>
      <c r="J96" s="78">
        <f t="shared" ref="J96:AC96" si="10">SUM(J93:J94)</f>
        <v>100</v>
      </c>
      <c r="K96" s="78">
        <f t="shared" si="10"/>
        <v>100</v>
      </c>
      <c r="L96" s="78">
        <f t="shared" si="10"/>
        <v>100</v>
      </c>
      <c r="M96" s="78">
        <f t="shared" si="10"/>
        <v>100</v>
      </c>
      <c r="N96" s="78">
        <f t="shared" si="10"/>
        <v>100</v>
      </c>
      <c r="O96" s="78">
        <f t="shared" si="10"/>
        <v>100</v>
      </c>
      <c r="P96" s="78">
        <f t="shared" si="10"/>
        <v>100</v>
      </c>
      <c r="Q96" s="78">
        <f t="shared" si="10"/>
        <v>1156.8697310323014</v>
      </c>
      <c r="R96" s="78">
        <f t="shared" si="10"/>
        <v>0</v>
      </c>
      <c r="S96" s="78">
        <f t="shared" si="10"/>
        <v>0</v>
      </c>
      <c r="T96" s="78">
        <f t="shared" si="10"/>
        <v>0</v>
      </c>
      <c r="U96" s="78">
        <f t="shared" si="10"/>
        <v>0</v>
      </c>
      <c r="V96" s="78">
        <f t="shared" si="10"/>
        <v>0</v>
      </c>
      <c r="W96" s="78">
        <f t="shared" si="10"/>
        <v>0</v>
      </c>
      <c r="X96" s="78">
        <f t="shared" si="10"/>
        <v>0</v>
      </c>
      <c r="Y96" s="78">
        <f t="shared" si="10"/>
        <v>0</v>
      </c>
      <c r="Z96" s="78">
        <f t="shared" si="10"/>
        <v>0</v>
      </c>
      <c r="AA96" s="78">
        <f t="shared" si="10"/>
        <v>0</v>
      </c>
      <c r="AB96" s="78">
        <f t="shared" si="10"/>
        <v>0</v>
      </c>
      <c r="AC96" s="78">
        <f t="shared" si="10"/>
        <v>0</v>
      </c>
    </row>
    <row r="97" spans="3:29" outlineLevel="1" x14ac:dyDescent="0.2"/>
    <row r="98" spans="3:29" outlineLevel="1" x14ac:dyDescent="0.2">
      <c r="E98" s="63" t="s">
        <v>127</v>
      </c>
      <c r="F98" s="68" t="s">
        <v>94</v>
      </c>
      <c r="J98" s="79">
        <f t="shared" ref="J98:AC98" si="11">IF(J$9&lt;=Number_of_Periods,J$47,"")</f>
        <v>0.94624336871427905</v>
      </c>
      <c r="K98" s="79">
        <f t="shared" si="11"/>
        <v>0.84737200693906689</v>
      </c>
      <c r="L98" s="79">
        <f t="shared" si="11"/>
        <v>0.75894611616217234</v>
      </c>
      <c r="M98" s="79">
        <f t="shared" si="11"/>
        <v>0.67974774068629906</v>
      </c>
      <c r="N98" s="79">
        <f t="shared" si="11"/>
        <v>0.60872205426421366</v>
      </c>
      <c r="O98" s="79">
        <f t="shared" si="11"/>
        <v>0.54511772113215173</v>
      </c>
      <c r="P98" s="79">
        <f t="shared" si="11"/>
        <v>0.48823300028386507</v>
      </c>
      <c r="Q98" s="79">
        <f t="shared" si="11"/>
        <v>0.43728437606304982</v>
      </c>
      <c r="R98" s="79" t="str">
        <f t="shared" si="11"/>
        <v/>
      </c>
      <c r="S98" s="79" t="str">
        <f t="shared" si="11"/>
        <v/>
      </c>
      <c r="T98" s="79" t="str">
        <f t="shared" si="11"/>
        <v/>
      </c>
      <c r="U98" s="79" t="str">
        <f t="shared" si="11"/>
        <v/>
      </c>
      <c r="V98" s="79" t="str">
        <f t="shared" si="11"/>
        <v/>
      </c>
      <c r="W98" s="79" t="str">
        <f t="shared" si="11"/>
        <v/>
      </c>
      <c r="X98" s="79" t="str">
        <f t="shared" si="11"/>
        <v/>
      </c>
      <c r="Y98" s="79" t="str">
        <f t="shared" si="11"/>
        <v/>
      </c>
      <c r="Z98" s="79" t="str">
        <f t="shared" si="11"/>
        <v/>
      </c>
      <c r="AA98" s="79" t="str">
        <f t="shared" si="11"/>
        <v/>
      </c>
      <c r="AB98" s="79" t="str">
        <f t="shared" si="11"/>
        <v/>
      </c>
      <c r="AC98" s="79" t="str">
        <f t="shared" si="11"/>
        <v/>
      </c>
    </row>
    <row r="99" spans="3:29" outlineLevel="1" x14ac:dyDescent="0.2"/>
    <row r="100" spans="3:29" outlineLevel="1" x14ac:dyDescent="0.2">
      <c r="E100" s="63" t="s">
        <v>128</v>
      </c>
      <c r="F100" s="68" t="str">
        <f>F96</f>
        <v>$'000</v>
      </c>
      <c r="J100" s="76">
        <f t="shared" ref="J100:AC100" si="12">IF(J$9&lt;=Number_of_Periods,J96*J98,"")</f>
        <v>94.6243368714279</v>
      </c>
      <c r="K100" s="76">
        <f t="shared" si="12"/>
        <v>84.737200693906686</v>
      </c>
      <c r="L100" s="76">
        <f t="shared" si="12"/>
        <v>75.894611616217233</v>
      </c>
      <c r="M100" s="76">
        <f t="shared" si="12"/>
        <v>67.974774068629912</v>
      </c>
      <c r="N100" s="76">
        <f t="shared" si="12"/>
        <v>60.872205426421367</v>
      </c>
      <c r="O100" s="76">
        <f t="shared" si="12"/>
        <v>54.511772113215173</v>
      </c>
      <c r="P100" s="76">
        <f t="shared" si="12"/>
        <v>48.823300028386505</v>
      </c>
      <c r="Q100" s="76">
        <f t="shared" si="12"/>
        <v>505.88105852068816</v>
      </c>
      <c r="R100" s="76" t="str">
        <f t="shared" si="12"/>
        <v/>
      </c>
      <c r="S100" s="76" t="str">
        <f t="shared" si="12"/>
        <v/>
      </c>
      <c r="T100" s="76" t="str">
        <f t="shared" si="12"/>
        <v/>
      </c>
      <c r="U100" s="76" t="str">
        <f t="shared" si="12"/>
        <v/>
      </c>
      <c r="V100" s="76" t="str">
        <f t="shared" si="12"/>
        <v/>
      </c>
      <c r="W100" s="76" t="str">
        <f t="shared" si="12"/>
        <v/>
      </c>
      <c r="X100" s="76" t="str">
        <f t="shared" si="12"/>
        <v/>
      </c>
      <c r="Y100" s="76" t="str">
        <f t="shared" si="12"/>
        <v/>
      </c>
      <c r="Z100" s="76" t="str">
        <f t="shared" si="12"/>
        <v/>
      </c>
      <c r="AA100" s="76" t="str">
        <f t="shared" si="12"/>
        <v/>
      </c>
      <c r="AB100" s="76" t="str">
        <f t="shared" si="12"/>
        <v/>
      </c>
      <c r="AC100" s="76" t="str">
        <f t="shared" si="12"/>
        <v/>
      </c>
    </row>
    <row r="101" spans="3:29" outlineLevel="1" x14ac:dyDescent="0.2"/>
    <row r="102" spans="3:29" ht="13.5" outlineLevel="1" thickBot="1" x14ac:dyDescent="0.25">
      <c r="E102" s="66" t="s">
        <v>129</v>
      </c>
      <c r="F102" s="68" t="str">
        <f>F100</f>
        <v>$'000</v>
      </c>
      <c r="G102" s="81">
        <f ca="1">(ROUND(I71-I102,Rounding_Accuracy)&lt;&gt;0)*1</f>
        <v>0</v>
      </c>
      <c r="I102" s="77">
        <f>SUM(J100:AC100)</f>
        <v>993.31925933889283</v>
      </c>
    </row>
    <row r="103" spans="3:29" ht="12.75" outlineLevel="1" thickTop="1" x14ac:dyDescent="0.2"/>
    <row r="104" spans="3:29" ht="12.75" outlineLevel="1" x14ac:dyDescent="0.2">
      <c r="E104" s="63" t="s">
        <v>136</v>
      </c>
      <c r="F104" s="68" t="str">
        <f>F24</f>
        <v>[1,0]</v>
      </c>
      <c r="G104" s="81">
        <f>AND(Terminal_Value_Switch=Yes,(SUMPRODUCT(J94:AC94,J98:AC98)/I102)&gt;TV_Tolerance)*1</f>
        <v>0</v>
      </c>
    </row>
    <row r="105" spans="3:29" outlineLevel="1" x14ac:dyDescent="0.2"/>
    <row r="106" spans="3:29" outlineLevel="1" x14ac:dyDescent="0.2"/>
    <row r="107" spans="3:29" ht="16.5" outlineLevel="1" x14ac:dyDescent="0.25">
      <c r="C107" s="4" t="s">
        <v>82</v>
      </c>
    </row>
    <row r="108" spans="3:29" outlineLevel="1" x14ac:dyDescent="0.2"/>
    <row r="109" spans="3:29" ht="15" outlineLevel="1" x14ac:dyDescent="0.25">
      <c r="D109" s="5" t="s">
        <v>133</v>
      </c>
    </row>
    <row r="110" spans="3:29" outlineLevel="1" x14ac:dyDescent="0.2"/>
    <row r="111" spans="3:29" outlineLevel="1" x14ac:dyDescent="0.2">
      <c r="E111" s="70" t="str">
        <f>"Correct "&amp;$D$109</f>
        <v>Correct Pre-Tax Cost of Equity</v>
      </c>
      <c r="F111" s="37" t="s">
        <v>91</v>
      </c>
      <c r="G111" s="83">
        <f>PreTax_Cost_of_Equity</f>
        <v>0.15302284284435153</v>
      </c>
    </row>
    <row r="112" spans="3:29" outlineLevel="1" x14ac:dyDescent="0.2">
      <c r="E112" s="70" t="str">
        <f>"Incorrect "&amp;$D$109</f>
        <v>Incorrect Pre-Tax Cost of Equity</v>
      </c>
      <c r="F112" s="37" t="s">
        <v>91</v>
      </c>
      <c r="G112" s="83">
        <f>PostTax_Cost_of_Equity/(1-Tax_Rate)</f>
        <v>0.17142857142857143</v>
      </c>
    </row>
    <row r="113" spans="5:7" outlineLevel="1" x14ac:dyDescent="0.2"/>
    <row r="114" spans="5:7" outlineLevel="1" x14ac:dyDescent="0.2">
      <c r="E114" s="66" t="s">
        <v>134</v>
      </c>
      <c r="F114" s="37" t="s">
        <v>91</v>
      </c>
      <c r="G114" s="82">
        <f>ABS(G111-G112)</f>
        <v>1.8405728584219905E-2</v>
      </c>
    </row>
    <row r="115" spans="5:7" outlineLevel="1" x14ac:dyDescent="0.2"/>
    <row r="116" spans="5:7" outlineLevel="1" x14ac:dyDescent="0.2"/>
  </sheetData>
  <mergeCells count="2">
    <mergeCell ref="I1:J1"/>
    <mergeCell ref="A3:E3"/>
  </mergeCells>
  <conditionalFormatting sqref="G26">
    <cfRule type="expression" dxfId="24" priority="18">
      <formula>Terminal_Value_Switch&lt;&gt;Yes</formula>
    </cfRule>
  </conditionalFormatting>
  <conditionalFormatting sqref="J5:AC9">
    <cfRule type="expression" dxfId="23" priority="17">
      <formula>J$9&gt;Number_of_Periods</formula>
    </cfRule>
  </conditionalFormatting>
  <conditionalFormatting sqref="K11:AD11">
    <cfRule type="expression" dxfId="22" priority="16">
      <formula>J$9&gt;Number_of_Periods</formula>
    </cfRule>
  </conditionalFormatting>
  <conditionalFormatting sqref="J52:AC52">
    <cfRule type="expression" dxfId="21" priority="14">
      <formula>J$9&gt;Number_of_Periods</formula>
    </cfRule>
    <cfRule type="expression" dxfId="20" priority="15">
      <formula>J$9&lt;=Number_of_Periods</formula>
    </cfRule>
  </conditionalFormatting>
  <conditionalFormatting sqref="J41:AC41">
    <cfRule type="expression" dxfId="19" priority="13">
      <formula>J$9&gt;Number_of_Periods</formula>
    </cfRule>
  </conditionalFormatting>
  <conditionalFormatting sqref="J47:AC47">
    <cfRule type="expression" dxfId="18" priority="12">
      <formula>J$9&gt;Number_of_Periods</formula>
    </cfRule>
  </conditionalFormatting>
  <conditionalFormatting sqref="K55:AD55">
    <cfRule type="expression" dxfId="17" priority="11">
      <formula>J$9&gt;Number_of_Periods</formula>
    </cfRule>
  </conditionalFormatting>
  <conditionalFormatting sqref="J65:AC65">
    <cfRule type="expression" dxfId="16" priority="10">
      <formula>J$9&gt;Number_of_Periods</formula>
    </cfRule>
  </conditionalFormatting>
  <conditionalFormatting sqref="J69:AC69">
    <cfRule type="expression" dxfId="15" priority="9">
      <formula>J$9&gt;Number_of_Periods</formula>
    </cfRule>
  </conditionalFormatting>
  <conditionalFormatting sqref="K76:AD76">
    <cfRule type="expression" dxfId="14" priority="8">
      <formula>J$9&gt;Number_of_Periods</formula>
    </cfRule>
  </conditionalFormatting>
  <conditionalFormatting sqref="J96:AC96">
    <cfRule type="expression" dxfId="13" priority="7">
      <formula>J$9&gt;Number_of_Periods</formula>
    </cfRule>
  </conditionalFormatting>
  <conditionalFormatting sqref="J100:AC100">
    <cfRule type="expression" dxfId="12" priority="6">
      <formula>J$9&gt;Number_of_Periods</formula>
    </cfRule>
  </conditionalFormatting>
  <conditionalFormatting sqref="G102">
    <cfRule type="cellIs" dxfId="11" priority="4" operator="notEqual">
      <formula>0</formula>
    </cfRule>
  </conditionalFormatting>
  <conditionalFormatting sqref="G73">
    <cfRule type="cellIs" dxfId="10" priority="2" operator="notEqual">
      <formula>0</formula>
    </cfRule>
  </conditionalFormatting>
  <conditionalFormatting sqref="G28">
    <cfRule type="expression" dxfId="9" priority="3">
      <formula>Terminal_Value_Switch&lt;&gt;Yes</formula>
    </cfRule>
  </conditionalFormatting>
  <conditionalFormatting sqref="G104">
    <cfRule type="cellIs" dxfId="8" priority="1" operator="notEqual">
      <formula>0</formula>
    </cfRule>
  </conditionalFormatting>
  <dataValidations count="5">
    <dataValidation type="list" allowBlank="1" showInputMessage="1" showErrorMessage="1" sqref="G33" xr:uid="{354050A9-D36C-46F7-B188-D31C48E677E8}">
      <formula1>LU_Periods</formula1>
    </dataValidation>
    <dataValidation type="list" allowBlank="1" showInputMessage="1" showErrorMessage="1" sqref="G34" xr:uid="{390E7286-26DB-425D-B062-BF623848F7D4}">
      <formula1>LU_Tax_Delay</formula1>
    </dataValidation>
    <dataValidation type="list" allowBlank="1" showInputMessage="1" showErrorMessage="1" sqref="G35" xr:uid="{D08AE7E1-459C-4A86-9AD5-32C1DE1F024A}">
      <formula1>LU_Timing</formula1>
    </dataValidation>
    <dataValidation type="list" allowBlank="1" showInputMessage="1" showErrorMessage="1" sqref="G24" xr:uid="{A0D9764F-486D-426D-AB22-180EA9FDC0CC}">
      <formula1>LU_Yes_No</formula1>
    </dataValidation>
    <dataValidation type="decimal" operator="lessThan" allowBlank="1" showInputMessage="1" showErrorMessage="1" errorTitle="Invalid Entry" error="Please enter a value of less than 100%." promptTitle="Proportion of Debt" prompt="Please enter a value of less than 100%." sqref="G20" xr:uid="{AE9DBEA7-2D5F-48A5-8750-16202237D64A}">
      <formula1>1</formula1>
    </dataValidation>
  </dataValidations>
  <hyperlinks>
    <hyperlink ref="A3:E3" location="HL_Navigator" tooltip="Go to Navigator (Table of Contents)" display="Navigator" xr:uid="{EC2C97FD-B12C-4549-BABE-AA7722E0DE84}"/>
    <hyperlink ref="A3" location="HL_Navigator" display="Navigator" xr:uid="{01BF8770-F573-4C07-8A2F-4709C2BF091A}"/>
  </hyperlinks>
  <pageMargins left="0.70866141732283472" right="0.70866141732283472" top="0.74803149606299213" bottom="0.74803149606299213" header="0.31496062992125984" footer="0.31496062992125984"/>
  <pageSetup paperSize="9" scale="3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outlinePr summaryBelow="0"/>
  </sheetPr>
  <dimension ref="A1:AD23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outlineLevelRow="1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30" s="42" customFormat="1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Timing</v>
      </c>
      <c r="I1" s="87"/>
      <c r="J1" s="87"/>
    </row>
    <row r="2" spans="1:30" s="42" customFormat="1" ht="18" x14ac:dyDescent="0.25">
      <c r="A2" s="50" t="str">
        <f ca="1">Model_Name</f>
        <v>Chapter 7.3 - SP Calculating the Pre-Tax Cost of Equity.xlsm</v>
      </c>
    </row>
    <row r="3" spans="1:30" s="42" customFormat="1" x14ac:dyDescent="0.2">
      <c r="A3" s="87" t="s">
        <v>1</v>
      </c>
      <c r="B3" s="87"/>
      <c r="C3" s="87"/>
      <c r="D3" s="87"/>
      <c r="E3" s="87"/>
    </row>
    <row r="4" spans="1:30" s="42" customFormat="1" ht="14.25" x14ac:dyDescent="0.2">
      <c r="B4" s="42" t="s">
        <v>2</v>
      </c>
      <c r="F4" s="1">
        <f ca="1">Overall_Error_Check</f>
        <v>0</v>
      </c>
    </row>
    <row r="5" spans="1:30" s="2" customFormat="1" collapsed="1" x14ac:dyDescent="0.2">
      <c r="J5" s="44">
        <f>J$7</f>
        <v>44196</v>
      </c>
      <c r="K5" s="44">
        <f>K$7</f>
        <v>44561</v>
      </c>
      <c r="L5" s="44">
        <f>L$7</f>
        <v>44926</v>
      </c>
      <c r="M5" s="44">
        <f>M$7</f>
        <v>45291</v>
      </c>
      <c r="N5" s="44">
        <f>N$7</f>
        <v>45657</v>
      </c>
      <c r="O5" s="44">
        <f t="shared" ref="O5:AB5" si="0">O$7</f>
        <v>46022</v>
      </c>
      <c r="P5" s="44">
        <f t="shared" si="0"/>
        <v>46387</v>
      </c>
      <c r="Q5" s="44">
        <f t="shared" si="0"/>
        <v>46752</v>
      </c>
      <c r="R5" s="44">
        <f t="shared" si="0"/>
        <v>47118</v>
      </c>
      <c r="S5" s="44">
        <f t="shared" si="0"/>
        <v>47483</v>
      </c>
      <c r="T5" s="44">
        <f t="shared" si="0"/>
        <v>47848</v>
      </c>
      <c r="U5" s="44">
        <f t="shared" si="0"/>
        <v>48213</v>
      </c>
      <c r="V5" s="44">
        <f t="shared" si="0"/>
        <v>48579</v>
      </c>
      <c r="W5" s="44">
        <f t="shared" si="0"/>
        <v>48944</v>
      </c>
      <c r="X5" s="44">
        <f t="shared" si="0"/>
        <v>49309</v>
      </c>
      <c r="Y5" s="44">
        <f t="shared" si="0"/>
        <v>49674</v>
      </c>
      <c r="Z5" s="44">
        <f>Z$7</f>
        <v>50040</v>
      </c>
      <c r="AA5" s="44">
        <f t="shared" si="0"/>
        <v>50405</v>
      </c>
      <c r="AB5" s="44">
        <f t="shared" si="0"/>
        <v>50770</v>
      </c>
      <c r="AC5" s="44">
        <f>AC$7</f>
        <v>51135</v>
      </c>
    </row>
    <row r="6" spans="1:30" s="42" customFormat="1" hidden="1" outlineLevel="1" x14ac:dyDescent="0.2">
      <c r="C6" s="2" t="s">
        <v>71</v>
      </c>
      <c r="J6" s="43">
        <f t="shared" ref="J6:AC6" si="1">IF(J$9=1,Model_Start_Date,I$7+1)</f>
        <v>43831</v>
      </c>
      <c r="K6" s="43">
        <f t="shared" si="1"/>
        <v>44197</v>
      </c>
      <c r="L6" s="43">
        <f t="shared" si="1"/>
        <v>44562</v>
      </c>
      <c r="M6" s="43">
        <f t="shared" si="1"/>
        <v>44927</v>
      </c>
      <c r="N6" s="43">
        <f t="shared" si="1"/>
        <v>45292</v>
      </c>
      <c r="O6" s="43">
        <f t="shared" si="1"/>
        <v>45658</v>
      </c>
      <c r="P6" s="43">
        <f t="shared" si="1"/>
        <v>46023</v>
      </c>
      <c r="Q6" s="43">
        <f t="shared" si="1"/>
        <v>46388</v>
      </c>
      <c r="R6" s="43">
        <f t="shared" si="1"/>
        <v>46753</v>
      </c>
      <c r="S6" s="43">
        <f t="shared" si="1"/>
        <v>47119</v>
      </c>
      <c r="T6" s="43">
        <f t="shared" si="1"/>
        <v>47484</v>
      </c>
      <c r="U6" s="43">
        <f t="shared" si="1"/>
        <v>47849</v>
      </c>
      <c r="V6" s="43">
        <f t="shared" si="1"/>
        <v>48214</v>
      </c>
      <c r="W6" s="43">
        <f t="shared" si="1"/>
        <v>48580</v>
      </c>
      <c r="X6" s="43">
        <f t="shared" si="1"/>
        <v>48945</v>
      </c>
      <c r="Y6" s="43">
        <f t="shared" si="1"/>
        <v>49310</v>
      </c>
      <c r="Z6" s="43">
        <f t="shared" si="1"/>
        <v>49675</v>
      </c>
      <c r="AA6" s="43">
        <f t="shared" si="1"/>
        <v>50041</v>
      </c>
      <c r="AB6" s="43">
        <f t="shared" si="1"/>
        <v>50406</v>
      </c>
      <c r="AC6" s="43">
        <f t="shared" si="1"/>
        <v>50771</v>
      </c>
    </row>
    <row r="7" spans="1:30" s="42" customFormat="1" hidden="1" outlineLevel="1" x14ac:dyDescent="0.2">
      <c r="C7" s="2" t="s">
        <v>72</v>
      </c>
      <c r="J7" s="43">
        <f t="shared" ref="J7:AC7" si="2">EOMONTH(J$6,MOD(Periodicity+Reporting_Month_Factor-MONTH(J$6),Periodicity))</f>
        <v>44196</v>
      </c>
      <c r="K7" s="43">
        <f t="shared" si="2"/>
        <v>44561</v>
      </c>
      <c r="L7" s="43">
        <f t="shared" si="2"/>
        <v>44926</v>
      </c>
      <c r="M7" s="43">
        <f t="shared" si="2"/>
        <v>45291</v>
      </c>
      <c r="N7" s="43">
        <f t="shared" si="2"/>
        <v>45657</v>
      </c>
      <c r="O7" s="43">
        <f t="shared" si="2"/>
        <v>46022</v>
      </c>
      <c r="P7" s="43">
        <f t="shared" si="2"/>
        <v>46387</v>
      </c>
      <c r="Q7" s="43">
        <f t="shared" si="2"/>
        <v>46752</v>
      </c>
      <c r="R7" s="43">
        <f t="shared" si="2"/>
        <v>47118</v>
      </c>
      <c r="S7" s="43">
        <f t="shared" si="2"/>
        <v>47483</v>
      </c>
      <c r="T7" s="43">
        <f t="shared" si="2"/>
        <v>47848</v>
      </c>
      <c r="U7" s="43">
        <f t="shared" si="2"/>
        <v>48213</v>
      </c>
      <c r="V7" s="43">
        <f t="shared" si="2"/>
        <v>48579</v>
      </c>
      <c r="W7" s="43">
        <f t="shared" si="2"/>
        <v>48944</v>
      </c>
      <c r="X7" s="43">
        <f t="shared" si="2"/>
        <v>49309</v>
      </c>
      <c r="Y7" s="43">
        <f t="shared" si="2"/>
        <v>49674</v>
      </c>
      <c r="Z7" s="43">
        <f t="shared" si="2"/>
        <v>50040</v>
      </c>
      <c r="AA7" s="43">
        <f t="shared" si="2"/>
        <v>50405</v>
      </c>
      <c r="AB7" s="43">
        <f t="shared" si="2"/>
        <v>50770</v>
      </c>
      <c r="AC7" s="43">
        <f t="shared" si="2"/>
        <v>51135</v>
      </c>
    </row>
    <row r="8" spans="1:30" s="42" customFormat="1" hidden="1" outlineLevel="1" x14ac:dyDescent="0.2">
      <c r="C8" s="2" t="s">
        <v>74</v>
      </c>
      <c r="J8" s="39">
        <f>J7-J6+1</f>
        <v>366</v>
      </c>
      <c r="K8" s="39">
        <f t="shared" ref="K8:N8" si="3">K7-K6+1</f>
        <v>365</v>
      </c>
      <c r="L8" s="39">
        <f t="shared" si="3"/>
        <v>365</v>
      </c>
      <c r="M8" s="39">
        <f t="shared" si="3"/>
        <v>365</v>
      </c>
      <c r="N8" s="39">
        <f t="shared" si="3"/>
        <v>366</v>
      </c>
      <c r="O8" s="39">
        <f t="shared" ref="O8:Z8" si="4">O7-O6+1</f>
        <v>365</v>
      </c>
      <c r="P8" s="39">
        <f t="shared" si="4"/>
        <v>365</v>
      </c>
      <c r="Q8" s="39">
        <f t="shared" si="4"/>
        <v>365</v>
      </c>
      <c r="R8" s="39">
        <f t="shared" si="4"/>
        <v>366</v>
      </c>
      <c r="S8" s="39">
        <f t="shared" si="4"/>
        <v>365</v>
      </c>
      <c r="T8" s="39">
        <f t="shared" si="4"/>
        <v>365</v>
      </c>
      <c r="U8" s="39">
        <f t="shared" si="4"/>
        <v>365</v>
      </c>
      <c r="V8" s="39">
        <f t="shared" si="4"/>
        <v>366</v>
      </c>
      <c r="W8" s="39">
        <f t="shared" si="4"/>
        <v>365</v>
      </c>
      <c r="X8" s="39">
        <f t="shared" si="4"/>
        <v>365</v>
      </c>
      <c r="Y8" s="39">
        <f t="shared" si="4"/>
        <v>365</v>
      </c>
      <c r="Z8" s="39">
        <f t="shared" si="4"/>
        <v>366</v>
      </c>
      <c r="AA8" s="39">
        <f t="shared" ref="AA8:AC8" si="5">AA7-AA6+1</f>
        <v>365</v>
      </c>
      <c r="AB8" s="39">
        <f t="shared" si="5"/>
        <v>365</v>
      </c>
      <c r="AC8" s="39">
        <f t="shared" si="5"/>
        <v>365</v>
      </c>
    </row>
    <row r="9" spans="1:30" s="42" customFormat="1" ht="15" hidden="1" outlineLevel="1" x14ac:dyDescent="0.25">
      <c r="C9" s="2" t="s">
        <v>73</v>
      </c>
      <c r="I9" s="28">
        <v>0</v>
      </c>
      <c r="J9" s="39">
        <f>N(I$9)+1</f>
        <v>1</v>
      </c>
      <c r="K9" s="39">
        <f t="shared" ref="K9:N9" si="6">N(J$9)+1</f>
        <v>2</v>
      </c>
      <c r="L9" s="39">
        <f t="shared" si="6"/>
        <v>3</v>
      </c>
      <c r="M9" s="39">
        <f t="shared" si="6"/>
        <v>4</v>
      </c>
      <c r="N9" s="39">
        <f t="shared" si="6"/>
        <v>5</v>
      </c>
      <c r="O9" s="39">
        <f t="shared" ref="O9" si="7">N(N$9)+1</f>
        <v>6</v>
      </c>
      <c r="P9" s="39">
        <f t="shared" ref="P9" si="8">N(O$9)+1</f>
        <v>7</v>
      </c>
      <c r="Q9" s="39">
        <f t="shared" ref="Q9" si="9">N(P$9)+1</f>
        <v>8</v>
      </c>
      <c r="R9" s="39">
        <f t="shared" ref="R9" si="10">N(Q$9)+1</f>
        <v>9</v>
      </c>
      <c r="S9" s="39">
        <f t="shared" ref="S9" si="11">N(R$9)+1</f>
        <v>10</v>
      </c>
      <c r="T9" s="39">
        <f t="shared" ref="T9" si="12">N(S$9)+1</f>
        <v>11</v>
      </c>
      <c r="U9" s="39">
        <f t="shared" ref="U9" si="13">N(T$9)+1</f>
        <v>12</v>
      </c>
      <c r="V9" s="39">
        <f t="shared" ref="V9" si="14">N(U$9)+1</f>
        <v>13</v>
      </c>
      <c r="W9" s="39">
        <f t="shared" ref="W9" si="15">N(V$9)+1</f>
        <v>14</v>
      </c>
      <c r="X9" s="39">
        <f t="shared" ref="X9" si="16">N(W$9)+1</f>
        <v>15</v>
      </c>
      <c r="Y9" s="39">
        <f t="shared" ref="Y9" si="17">N(X$9)+1</f>
        <v>16</v>
      </c>
      <c r="Z9" s="39">
        <f t="shared" ref="Z9" si="18">N(Y$9)+1</f>
        <v>17</v>
      </c>
      <c r="AA9" s="39">
        <f t="shared" ref="AA9" si="19">N(Z$9)+1</f>
        <v>18</v>
      </c>
      <c r="AB9" s="39">
        <f t="shared" ref="AB9:AC9" si="20">N(AA$9)+1</f>
        <v>19</v>
      </c>
      <c r="AC9" s="39">
        <f t="shared" si="20"/>
        <v>20</v>
      </c>
    </row>
    <row r="10" spans="1:30" s="42" customFormat="1" x14ac:dyDescent="0.2">
      <c r="A10" s="61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30" s="42" customFormat="1" ht="16.5" thickBot="1" x14ac:dyDescent="0.3">
      <c r="B11" s="51">
        <f>MAX($B$10:$B10)+1</f>
        <v>1</v>
      </c>
      <c r="C11" s="46" t="s">
        <v>75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s="42" customFormat="1" ht="12.75" thickTop="1" x14ac:dyDescent="0.2"/>
    <row r="13" spans="1:30" s="42" customFormat="1" ht="16.5" x14ac:dyDescent="0.25">
      <c r="C13" s="4" t="s">
        <v>76</v>
      </c>
    </row>
    <row r="15" spans="1:30" x14ac:dyDescent="0.2">
      <c r="D15" t="s">
        <v>77</v>
      </c>
      <c r="H15" s="59">
        <v>43831</v>
      </c>
    </row>
    <row r="17" spans="4:9" x14ac:dyDescent="0.2">
      <c r="D17" t="s">
        <v>78</v>
      </c>
      <c r="H17" s="52">
        <v>12</v>
      </c>
    </row>
    <row r="19" spans="4:9" x14ac:dyDescent="0.2">
      <c r="D19" t="s">
        <v>79</v>
      </c>
      <c r="H19" s="52">
        <v>12</v>
      </c>
      <c r="I19" s="23" t="str">
        <f>"e.g. "&amp;TEXT(DATE(YEAR(Model_Start_Date)+IF(Example_Reporting_Month&lt;MONTH(Model_Start_Date),1,0),Example_Reporting_Month+1,1)-1,"dd-Mmm-yy")</f>
        <v>e.g. 31-Dec-20</v>
      </c>
    </row>
    <row r="21" spans="4:9" x14ac:dyDescent="0.2">
      <c r="D21" t="s">
        <v>80</v>
      </c>
      <c r="H21" s="40">
        <f>MOD(Example_Reporting_Month-1,Periodicity)+1</f>
        <v>12</v>
      </c>
    </row>
    <row r="23" spans="4:9" x14ac:dyDescent="0.2">
      <c r="D23" t="s">
        <v>81</v>
      </c>
      <c r="H23" s="60">
        <v>12</v>
      </c>
    </row>
  </sheetData>
  <mergeCells count="2">
    <mergeCell ref="I1:J1"/>
    <mergeCell ref="A3:E3"/>
  </mergeCells>
  <conditionalFormatting sqref="F4">
    <cfRule type="cellIs" dxfId="7" priority="1" operator="notEqual">
      <formula>0</formula>
    </cfRule>
  </conditionalFormatting>
  <dataValidations count="1">
    <dataValidation type="list" allowBlank="1" showInputMessage="1" showErrorMessage="1" sqref="H17" xr:uid="{00000000-0002-0000-0400-000000000000}">
      <formula1>"1,2,3,4,6,12"</formula1>
    </dataValidation>
  </dataValidations>
  <hyperlinks>
    <hyperlink ref="F4" location="Overall_Error_Check" tooltip="Go to Overall Error Check" display="Overall_Error_Check" xr:uid="{00000000-0004-0000-0400-000000000000}"/>
    <hyperlink ref="A3:E3" location="HL_Navigator" tooltip="Go to Navigator (Table of Contents)" display="Navigator" xr:uid="{00000000-0004-0000-0400-000001000000}"/>
    <hyperlink ref="A3" location="HL_Navigator" display="Navigator" xr:uid="{00000000-0004-0000-04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6B70D-8C0A-40FB-A48D-037FBF1D0BB3}">
  <sheetPr codeName="Sheet8">
    <outlinePr summaryBelow="0" summaryRight="0"/>
  </sheetPr>
  <dimension ref="A1:R28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5" width="3.7109375" customWidth="1"/>
    <col min="6" max="6" width="10.28515625" bestFit="1" customWidth="1"/>
  </cols>
  <sheetData>
    <row r="1" spans="1:18" s="63" customFormat="1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Lookup Data</v>
      </c>
      <c r="J1" s="87"/>
      <c r="K1" s="87"/>
    </row>
    <row r="2" spans="1:18" s="63" customFormat="1" ht="18" x14ac:dyDescent="0.25">
      <c r="A2" s="50" t="str">
        <f ca="1">Model_Name</f>
        <v>Chapter 7.3 - SP Calculating the Pre-Tax Cost of Equity.xlsm</v>
      </c>
    </row>
    <row r="3" spans="1:18" s="63" customFormat="1" x14ac:dyDescent="0.2">
      <c r="A3" s="87" t="s">
        <v>1</v>
      </c>
      <c r="B3" s="87"/>
      <c r="C3" s="87"/>
      <c r="D3" s="87"/>
      <c r="E3" s="87"/>
    </row>
    <row r="4" spans="1:18" s="63" customFormat="1" ht="14.25" x14ac:dyDescent="0.2">
      <c r="E4" s="63" t="s">
        <v>2</v>
      </c>
      <c r="I4" s="1">
        <f ca="1">Overall_Error_Check</f>
        <v>0</v>
      </c>
    </row>
    <row r="5" spans="1:18" s="63" customFormat="1" x14ac:dyDescent="0.2"/>
    <row r="6" spans="1:18" s="63" customFormat="1" ht="16.5" thickBot="1" x14ac:dyDescent="0.3">
      <c r="B6" s="51">
        <f>MAX($B$5:$B5)+1</f>
        <v>1</v>
      </c>
      <c r="C6" s="3" t="s">
        <v>97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63" customFormat="1" ht="12.75" outlineLevel="1" thickTop="1" x14ac:dyDescent="0.2"/>
    <row r="8" spans="1:18" s="63" customFormat="1" ht="16.5" outlineLevel="1" x14ac:dyDescent="0.25">
      <c r="C8" s="4" t="s">
        <v>98</v>
      </c>
    </row>
    <row r="9" spans="1:18" s="63" customFormat="1" outlineLevel="1" x14ac:dyDescent="0.2"/>
    <row r="10" spans="1:18" s="63" customFormat="1" ht="16.5" outlineLevel="1" x14ac:dyDescent="0.25">
      <c r="C10" s="4"/>
      <c r="D10" s="5" t="s">
        <v>99</v>
      </c>
      <c r="E10" s="5"/>
    </row>
    <row r="11" spans="1:18" outlineLevel="1" x14ac:dyDescent="0.2"/>
    <row r="12" spans="1:18" outlineLevel="1" x14ac:dyDescent="0.2">
      <c r="F12" s="64" t="str">
        <f>D10</f>
        <v>LU_Timing</v>
      </c>
    </row>
    <row r="13" spans="1:18" outlineLevel="1" x14ac:dyDescent="0.2">
      <c r="D13" s="63"/>
      <c r="E13" s="63"/>
      <c r="F13" s="6" t="s">
        <v>100</v>
      </c>
      <c r="H13" s="34" t="str">
        <f>F12</f>
        <v>LU_Timing</v>
      </c>
    </row>
    <row r="14" spans="1:18" outlineLevel="1" x14ac:dyDescent="0.2">
      <c r="D14" s="63"/>
      <c r="E14" s="63"/>
      <c r="F14" s="6" t="s">
        <v>101</v>
      </c>
    </row>
    <row r="15" spans="1:18" outlineLevel="1" x14ac:dyDescent="0.2">
      <c r="D15" s="63"/>
      <c r="E15" s="63"/>
      <c r="F15" s="6" t="s">
        <v>102</v>
      </c>
    </row>
    <row r="16" spans="1:18" outlineLevel="1" x14ac:dyDescent="0.2"/>
    <row r="17" spans="2:18" outlineLevel="1" x14ac:dyDescent="0.2"/>
    <row r="18" spans="2:18" s="63" customFormat="1" ht="16.5" thickBot="1" x14ac:dyDescent="0.3">
      <c r="B18" s="51">
        <f>MAX($B$5:$B17)+1</f>
        <v>2</v>
      </c>
      <c r="C18" s="3" t="s">
        <v>103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s="63" customFormat="1" ht="12.75" outlineLevel="1" thickTop="1" x14ac:dyDescent="0.2"/>
    <row r="20" spans="2:18" s="63" customFormat="1" ht="16.5" outlineLevel="1" x14ac:dyDescent="0.25">
      <c r="C20" s="4" t="s">
        <v>98</v>
      </c>
    </row>
    <row r="21" spans="2:18" s="63" customFormat="1" outlineLevel="1" x14ac:dyDescent="0.2"/>
    <row r="22" spans="2:18" s="63" customFormat="1" ht="16.5" outlineLevel="1" x14ac:dyDescent="0.25">
      <c r="C22" s="4"/>
      <c r="D22" s="5" t="s">
        <v>104</v>
      </c>
      <c r="E22" s="5"/>
    </row>
    <row r="23" spans="2:18" s="63" customFormat="1" outlineLevel="1" x14ac:dyDescent="0.2"/>
    <row r="24" spans="2:18" s="63" customFormat="1" outlineLevel="1" x14ac:dyDescent="0.2">
      <c r="F24" s="64" t="str">
        <f>D22</f>
        <v>LU_Yes_No</v>
      </c>
    </row>
    <row r="25" spans="2:18" s="63" customFormat="1" outlineLevel="1" x14ac:dyDescent="0.2">
      <c r="E25" s="63" t="s">
        <v>105</v>
      </c>
      <c r="F25" s="6" t="s">
        <v>105</v>
      </c>
      <c r="H25" s="34" t="str">
        <f>F24</f>
        <v>LU_Yes_No</v>
      </c>
    </row>
    <row r="26" spans="2:18" s="63" customFormat="1" outlineLevel="1" x14ac:dyDescent="0.2">
      <c r="E26" s="63" t="s">
        <v>106</v>
      </c>
      <c r="F26" s="6" t="s">
        <v>106</v>
      </c>
    </row>
    <row r="27" spans="2:18" s="63" customFormat="1" outlineLevel="1" x14ac:dyDescent="0.2"/>
    <row r="28" spans="2:18" s="63" customFormat="1" outlineLevel="1" x14ac:dyDescent="0.2"/>
  </sheetData>
  <mergeCells count="2">
    <mergeCell ref="J1:K1"/>
    <mergeCell ref="A3:E3"/>
  </mergeCells>
  <conditionalFormatting sqref="I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78CD49A1-451D-4C4F-8677-512FA4B6CA04}"/>
    <hyperlink ref="A3" location="HL_Navigator" display="Navigator" xr:uid="{A782C760-3B22-4779-8328-3FAAFAE6162C}"/>
    <hyperlink ref="I4" location="Overall_Error_Check" tooltip="Go to Overall Error Check" display="Overall_Error_Check" xr:uid="{C61EC213-4834-41E8-A6DD-D44B3A7A176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Error Checks</v>
      </c>
      <c r="I1" s="87"/>
      <c r="J1" s="87"/>
    </row>
    <row r="2" spans="1:11" ht="18" x14ac:dyDescent="0.25">
      <c r="A2" s="50" t="str">
        <f ca="1">Model_Name</f>
        <v>Chapter 7.3 - SP Calculating the Pre-Tax Cost of Equity.xlsm</v>
      </c>
    </row>
    <row r="3" spans="1:11" x14ac:dyDescent="0.2">
      <c r="A3" s="87" t="s">
        <v>1</v>
      </c>
      <c r="B3" s="87"/>
      <c r="C3" s="87"/>
      <c r="D3" s="87"/>
      <c r="E3" s="87"/>
    </row>
    <row r="4" spans="1:11" ht="14.25" x14ac:dyDescent="0.2">
      <c r="B4" t="s">
        <v>2</v>
      </c>
      <c r="F4" s="1">
        <f ca="1">Overall_Error_Check</f>
        <v>0</v>
      </c>
    </row>
    <row r="5" spans="1:11" x14ac:dyDescent="0.2">
      <c r="A5" s="61"/>
    </row>
    <row r="6" spans="1:11" ht="16.5" thickBot="1" x14ac:dyDescent="0.3">
      <c r="B6" s="51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  <c r="K6" s="3"/>
    </row>
    <row r="7" spans="1:11" ht="12.75" outlineLevel="1" thickTop="1" x14ac:dyDescent="0.2"/>
    <row r="8" spans="1:11" ht="16.5" outlineLevel="1" x14ac:dyDescent="0.25">
      <c r="C8" s="4" t="s">
        <v>67</v>
      </c>
    </row>
    <row r="9" spans="1:11" ht="16.5" outlineLevel="1" x14ac:dyDescent="0.25">
      <c r="C9" s="4"/>
    </row>
    <row r="10" spans="1:11" ht="16.5" outlineLevel="1" x14ac:dyDescent="0.25">
      <c r="C10" s="4"/>
      <c r="D10" s="5" t="s">
        <v>68</v>
      </c>
    </row>
    <row r="11" spans="1:11" outlineLevel="1" x14ac:dyDescent="0.2"/>
    <row r="12" spans="1:11" ht="12.75" outlineLevel="1" x14ac:dyDescent="0.2">
      <c r="E12" t="s">
        <v>135</v>
      </c>
      <c r="I12" s="81">
        <f ca="1">HL_NPV_Check</f>
        <v>0</v>
      </c>
    </row>
    <row r="13" spans="1:11" ht="12.75" outlineLevel="1" x14ac:dyDescent="0.2">
      <c r="E13" t="s">
        <v>137</v>
      </c>
      <c r="H13" s="63"/>
      <c r="I13" s="81">
        <f ca="1">HL_PostTax_TV_Tolerance</f>
        <v>0</v>
      </c>
      <c r="J13" s="63"/>
    </row>
    <row r="14" spans="1:11" ht="12.75" outlineLevel="1" x14ac:dyDescent="0.2">
      <c r="E14" t="s">
        <v>138</v>
      </c>
      <c r="I14" s="81">
        <f>HL_PreTax_TV_Tolerance</f>
        <v>0</v>
      </c>
    </row>
    <row r="15" spans="1:11" outlineLevel="1" x14ac:dyDescent="0.2"/>
    <row r="16" spans="1:11" outlineLevel="1" x14ac:dyDescent="0.2"/>
    <row r="17" spans="5:11" ht="15" outlineLevel="1" x14ac:dyDescent="0.25">
      <c r="E17" s="5" t="str">
        <f>C8</f>
        <v>Summary of Errors</v>
      </c>
      <c r="I17" s="1">
        <f ca="1">MIN(1,SUM(I11:I15))</f>
        <v>0</v>
      </c>
      <c r="K17" s="6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5" priority="7" operator="notEqual">
      <formula>0</formula>
    </cfRule>
  </conditionalFormatting>
  <conditionalFormatting sqref="I12">
    <cfRule type="cellIs" dxfId="4" priority="6" operator="notEqual">
      <formula>0</formula>
    </cfRule>
  </conditionalFormatting>
  <conditionalFormatting sqref="I12">
    <cfRule type="cellIs" dxfId="3" priority="5" operator="notEqual">
      <formula>0</formula>
    </cfRule>
  </conditionalFormatting>
  <conditionalFormatting sqref="F4">
    <cfRule type="cellIs" dxfId="2" priority="3" operator="notEqual">
      <formula>0</formula>
    </cfRule>
  </conditionalFormatting>
  <conditionalFormatting sqref="I13:I14">
    <cfRule type="cellIs" dxfId="1" priority="2" operator="notEqual">
      <formula>0</formula>
    </cfRule>
  </conditionalFormatting>
  <conditionalFormatting sqref="I13:I1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  <hyperlink ref="I12" location="HL_NPV_Check" display="HL_NPV_Check" xr:uid="{872AF8E0-D303-40A3-809A-4FBB217B2185}"/>
    <hyperlink ref="I13" location="HL_PostTax_TV_Tolerance" display="HL_PostTax_TV_Tolerance" xr:uid="{C9963DA1-6109-4179-B999-67754664BCF9}"/>
    <hyperlink ref="I14" location="HL_PreTax_TV_Tolerance" display="HL_PreTax_TV_Tolerance" xr:uid="{FC69965C-989D-498C-AF4A-5ED5A4BC480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62</vt:i4>
      </vt:variant>
    </vt:vector>
  </HeadingPairs>
  <TitlesOfParts>
    <vt:vector size="70" baseType="lpstr">
      <vt:lpstr>Cover</vt:lpstr>
      <vt:lpstr>Navigator</vt:lpstr>
      <vt:lpstr>Style Guide</vt:lpstr>
      <vt:lpstr>Model Parameters</vt:lpstr>
      <vt:lpstr>Pre-Tax Cost of Equity Example</vt:lpstr>
      <vt:lpstr>Timing</vt:lpstr>
      <vt:lpstr>Lookup Data</vt:lpstr>
      <vt:lpstr>Error Checks</vt:lpstr>
      <vt:lpstr>Client_Name</vt:lpstr>
      <vt:lpstr>Days_in_Year</vt:lpstr>
      <vt:lpstr>End</vt:lpstr>
      <vt:lpstr>'Pre-Tax Cost of Equity Example'!Example_Reporting_Month</vt:lpstr>
      <vt:lpstr>Example_Reporting_Month</vt:lpstr>
      <vt:lpstr>Growth_Rate_in_Perpetuity</vt:lpstr>
      <vt:lpstr>HL_1</vt:lpstr>
      <vt:lpstr>HL_3</vt:lpstr>
      <vt:lpstr>HL_4</vt:lpstr>
      <vt:lpstr>'Pre-Tax Cost of Equity Example'!HL_5</vt:lpstr>
      <vt:lpstr>HL_6</vt:lpstr>
      <vt:lpstr>HL_7</vt:lpstr>
      <vt:lpstr>HL_8</vt:lpstr>
      <vt:lpstr>HL_Model_Parameters</vt:lpstr>
      <vt:lpstr>HL_Navigator</vt:lpstr>
      <vt:lpstr>HL_NPV_Check</vt:lpstr>
      <vt:lpstr>HL_PostTax_TV_Tolerance</vt:lpstr>
      <vt:lpstr>HL_PreTax_TV_Tolerance</vt:lpstr>
      <vt:lpstr>LU_Periods</vt:lpstr>
      <vt:lpstr>LU_Tax_Delay</vt:lpstr>
      <vt:lpstr>LU_Timing</vt:lpstr>
      <vt:lpstr>LU_Yes_No</vt:lpstr>
      <vt:lpstr>Middle</vt:lpstr>
      <vt:lpstr>Model_Name</vt:lpstr>
      <vt:lpstr>'Pre-Tax Cost of Equity Example'!Model_Start_Date</vt:lpstr>
      <vt:lpstr>Model_Start_Date</vt:lpstr>
      <vt:lpstr>Months_in_Half_Yr</vt:lpstr>
      <vt:lpstr>Months_in_Month</vt:lpstr>
      <vt:lpstr>Months_in_Qtr</vt:lpstr>
      <vt:lpstr>Months_in_Quarter</vt:lpstr>
      <vt:lpstr>Months_in_Year</vt:lpstr>
      <vt:lpstr>'Pre-Tax Cost of Equity Example'!Months_Per_Year</vt:lpstr>
      <vt:lpstr>Months_Per_Year</vt:lpstr>
      <vt:lpstr>No</vt:lpstr>
      <vt:lpstr>Number_of_Periods</vt:lpstr>
      <vt:lpstr>Overall_Error_Check</vt:lpstr>
      <vt:lpstr>'Pre-Tax Cost of Equity Example'!Periodicity</vt:lpstr>
      <vt:lpstr>Periodicity</vt:lpstr>
      <vt:lpstr>Post_Tax_WACC</vt:lpstr>
      <vt:lpstr>PostTax_Cost_of_Equity</vt:lpstr>
      <vt:lpstr>PostTax_NPV</vt:lpstr>
      <vt:lpstr>Pre_Tax_WACC</vt:lpstr>
      <vt:lpstr>PreTax_Cash_Flows</vt:lpstr>
      <vt:lpstr>PreTax_Cost_of_Debt</vt:lpstr>
      <vt:lpstr>PreTax_Cost_of_Equity</vt:lpstr>
      <vt:lpstr>PreTax_NPV</vt:lpstr>
      <vt:lpstr>'Pre-Tax Cost of Equity Example'!Print_Titles</vt:lpstr>
      <vt:lpstr>Proportion_of_Debt</vt:lpstr>
      <vt:lpstr>Quarters_in_Year</vt:lpstr>
      <vt:lpstr>'Pre-Tax Cost of Equity Example'!Reporting_Month_Factor</vt:lpstr>
      <vt:lpstr>Reporting_Month_Factor</vt:lpstr>
      <vt:lpstr>Rounding_Accuracy</vt:lpstr>
      <vt:lpstr>Start</vt:lpstr>
      <vt:lpstr>Tax_Delay</vt:lpstr>
      <vt:lpstr>Tax_Rate</vt:lpstr>
      <vt:lpstr>Terminal_Value_Switch</vt:lpstr>
      <vt:lpstr>Thousand</vt:lpstr>
      <vt:lpstr>Timing_of_CashFlows</vt:lpstr>
      <vt:lpstr>TV_Tolerance</vt:lpstr>
      <vt:lpstr>Very_Large_Number</vt:lpstr>
      <vt:lpstr>Very_Small_Number</vt:lpstr>
      <vt:lpstr>Yes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Tim Heng</cp:lastModifiedBy>
  <cp:lastPrinted>2018-08-19T03:27:44Z</cp:lastPrinted>
  <dcterms:created xsi:type="dcterms:W3CDTF">2012-10-20T20:39:47Z</dcterms:created>
  <dcterms:modified xsi:type="dcterms:W3CDTF">2020-05-27T11:22:23Z</dcterms:modified>
</cp:coreProperties>
</file>