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Final screenshots and files\Chapter 07 - Valuations\"/>
    </mc:Choice>
  </mc:AlternateContent>
  <xr:revisionPtr revIDLastSave="0" documentId="13_ncr:1_{2DF5B459-2D43-4337-AB8B-B29A5D84D70B}" xr6:coauthVersionLast="45" xr6:coauthVersionMax="45" xr10:uidLastSave="{00000000-0000-0000-0000-000000000000}"/>
  <bookViews>
    <workbookView xWindow="-120" yWindow="-120" windowWidth="29040" windowHeight="15840" tabRatio="653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General Assumptions" sheetId="15" r:id="rId5"/>
    <sheet name="Calculations" sheetId="17" r:id="rId6"/>
    <sheet name="Opening Balance Sheet" sheetId="18" r:id="rId7"/>
    <sheet name="Income Statement" sheetId="19" r:id="rId8"/>
    <sheet name="Balance Sheet" sheetId="20" r:id="rId9"/>
    <sheet name="Cash Flow Statement" sheetId="21" r:id="rId10"/>
    <sheet name="FCFF (End)" sheetId="23" r:id="rId11"/>
    <sheet name="FCFF (Mid)" sheetId="25" r:id="rId12"/>
    <sheet name="FCFE" sheetId="24" r:id="rId13"/>
    <sheet name="Error Checks" sheetId="5" r:id="rId14"/>
    <sheet name="Timing" sheetId="6" r:id="rId15"/>
    <sheet name="Lookup" sheetId="16" r:id="rId16"/>
    <sheet name="Change Log" sheetId="9" r:id="rId17"/>
  </sheets>
  <definedNames>
    <definedName name="Balance_Sheet">'Model Parameters'!$G$57</definedName>
    <definedName name="Boolean">'Model Parameters'!$G$46</definedName>
    <definedName name="Cash_Flow_Statement">'Model Parameters'!$G$58</definedName>
    <definedName name="Client_Name">'Model Parameters'!$G$13</definedName>
    <definedName name="Currency">'Model Parameters'!$G$45</definedName>
    <definedName name="Days_in_Yr">'Model Parameters'!$G$20</definedName>
    <definedName name="Example_Reporting_Month">Timing!$H$19</definedName>
    <definedName name="HL_1">Cover!$A$3</definedName>
    <definedName name="HL_10">'Cash Flow Statement'!$A$3</definedName>
    <definedName name="HL_11">'FCFF (End)'!$A$3</definedName>
    <definedName name="HL_12">'FCFF (Mid)'!$A$3</definedName>
    <definedName name="HL_13">FCFE!$A$3</definedName>
    <definedName name="HL_14">'Error Checks'!$A$3</definedName>
    <definedName name="HL_15">Timing!$A$3</definedName>
    <definedName name="HL_16">Lookup!$A$3</definedName>
    <definedName name="HL_17">'Change Log'!$A$3</definedName>
    <definedName name="HL_3">'Style Guide'!$A$3</definedName>
    <definedName name="HL_4">'Model Parameters'!$A$3</definedName>
    <definedName name="HL_5">'General Assumptions'!$A$3</definedName>
    <definedName name="HL_6">Calculations!$A$3</definedName>
    <definedName name="HL_7">'Opening Balance Sheet'!$A$3</definedName>
    <definedName name="HL_8">'Income Statement'!$A$3</definedName>
    <definedName name="HL_9">'Balance Sheet'!$A$3</definedName>
    <definedName name="HL_Model_Parameters">'Model Parameters'!$A$5</definedName>
    <definedName name="HL_Navigator">Navigator!$A$1</definedName>
    <definedName name="Income_Statement">'Model Parameters'!$G$56</definedName>
    <definedName name="LU_Future_Years">Lookup!$D$11:$D$15</definedName>
    <definedName name="Macro_NavHeading">Navigator!$C$7</definedName>
    <definedName name="Model_Name">'Model Parameters'!$G$12</definedName>
    <definedName name="Model_Start_Date">Timing!$H$15</definedName>
    <definedName name="Months_in_Half_Yr">'Model Parameters'!$G$23</definedName>
    <definedName name="Months_in_Month">'Model Parameters'!$G$21</definedName>
    <definedName name="Months_in_Qtr">'Model Parameters'!$G$22</definedName>
    <definedName name="Months_in_Year">'Model Parameters'!$G$24</definedName>
    <definedName name="Multiplier">'Model Parameters'!$G$51</definedName>
    <definedName name="No_of_Days">'Model Parameters'!$G$48</definedName>
    <definedName name="No_of_Years">'Model Parameters'!$G$50</definedName>
    <definedName name="Overall_Error_Check">'Error Checks'!$I$21</definedName>
    <definedName name="Percentage">'Model Parameters'!$G$47</definedName>
    <definedName name="Periodicity">Timing!$H$17</definedName>
    <definedName name="Quarters_in_Year">'Model Parameters'!$G$25</definedName>
    <definedName name="Reporting_Month_Factor">Timing!$H$21</definedName>
    <definedName name="Rounding_Accuracy">'Model Parameters'!$G$27</definedName>
    <definedName name="Thousand">'Model Parameters'!$G$32</definedName>
    <definedName name="Unit">'Model Parameters'!$G$44</definedName>
    <definedName name="Very_Large_Number">'Model Parameters'!$G$29</definedName>
    <definedName name="Very_Small_Number">'Model Parameters'!$G$30</definedName>
    <definedName name="Year">'Model Parameters'!$G$49</definedName>
  </definedNames>
  <calcPr calcId="191029" iterateDelta="9.9999999999999995E-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25" l="1"/>
  <c r="G36" i="25"/>
  <c r="G34" i="25"/>
  <c r="G32" i="25"/>
  <c r="G30" i="25"/>
  <c r="G28" i="25"/>
  <c r="E28" i="25"/>
  <c r="G27" i="25"/>
  <c r="G24" i="25"/>
  <c r="E24" i="25"/>
  <c r="G23" i="25"/>
  <c r="G22" i="25"/>
  <c r="G21" i="25"/>
  <c r="G20" i="25"/>
  <c r="G19" i="25"/>
  <c r="C14" i="25"/>
  <c r="C16" i="25" s="1"/>
  <c r="D30" i="25" s="1"/>
  <c r="B14" i="25"/>
  <c r="C12" i="25"/>
  <c r="C8" i="25"/>
  <c r="C7" i="25"/>
  <c r="C6" i="25"/>
  <c r="G35" i="23"/>
  <c r="G33" i="23"/>
  <c r="G31" i="23"/>
  <c r="G29" i="23"/>
  <c r="G33" i="24" l="1"/>
  <c r="G31" i="24"/>
  <c r="E31" i="24"/>
  <c r="G30" i="24"/>
  <c r="G29" i="24"/>
  <c r="G26" i="24"/>
  <c r="E26" i="24"/>
  <c r="G25" i="24"/>
  <c r="G22" i="24"/>
  <c r="E22" i="24"/>
  <c r="G21" i="24"/>
  <c r="G20" i="24"/>
  <c r="G19" i="24"/>
  <c r="G18" i="24"/>
  <c r="G17" i="24"/>
  <c r="G16" i="24"/>
  <c r="B11" i="24"/>
  <c r="C9" i="24"/>
  <c r="C8" i="24"/>
  <c r="C7" i="24"/>
  <c r="C6" i="24"/>
  <c r="C11" i="24"/>
  <c r="D33" i="24" s="1"/>
  <c r="G27" i="23"/>
  <c r="G25" i="23"/>
  <c r="E25" i="23"/>
  <c r="G24" i="23"/>
  <c r="G21" i="23"/>
  <c r="E21" i="23"/>
  <c r="G20" i="23"/>
  <c r="G19" i="23"/>
  <c r="G18" i="23"/>
  <c r="G17" i="23"/>
  <c r="G16" i="23"/>
  <c r="B11" i="23"/>
  <c r="C9" i="23"/>
  <c r="C8" i="23"/>
  <c r="C7" i="23"/>
  <c r="C6" i="23"/>
  <c r="C11" i="23"/>
  <c r="C13" i="23" s="1"/>
  <c r="D27" i="23" s="1"/>
  <c r="C13" i="24" l="1"/>
  <c r="I37" i="18"/>
  <c r="I32" i="18"/>
  <c r="I22" i="18"/>
  <c r="I17" i="18"/>
  <c r="E308" i="17"/>
  <c r="E303" i="17"/>
  <c r="D301" i="17"/>
  <c r="D300" i="17"/>
  <c r="O298" i="17"/>
  <c r="O297" i="17"/>
  <c r="O296" i="17"/>
  <c r="O295" i="17"/>
  <c r="P298" i="17"/>
  <c r="P263" i="17"/>
  <c r="P235" i="17"/>
  <c r="P258" i="17"/>
  <c r="P184" i="17"/>
  <c r="P236" i="17"/>
  <c r="P175" i="17"/>
  <c r="P272" i="17"/>
  <c r="P246" i="17"/>
  <c r="P278" i="17"/>
  <c r="P215" i="17"/>
  <c r="P264" i="17"/>
  <c r="P315" i="17"/>
  <c r="P189" i="17"/>
  <c r="P230" i="17"/>
  <c r="P319" i="17"/>
  <c r="P212" i="17"/>
  <c r="P207" i="17"/>
  <c r="P217" i="17"/>
  <c r="P174" i="17"/>
  <c r="P240" i="17"/>
  <c r="P226" i="17"/>
  <c r="P168" i="17"/>
  <c r="P202" i="17"/>
  <c r="P281" i="17"/>
  <c r="P307" i="17"/>
  <c r="P290" i="17"/>
  <c r="P322" i="17"/>
  <c r="P214" i="17"/>
  <c r="P291" i="17"/>
  <c r="P303" i="17"/>
  <c r="P313" i="17"/>
  <c r="P241" i="17"/>
  <c r="P344" i="17"/>
  <c r="P166" i="17"/>
  <c r="P283" i="17"/>
  <c r="P194" i="17"/>
  <c r="P170" i="17"/>
  <c r="P242" i="17"/>
  <c r="P244" i="17"/>
  <c r="P176" i="17"/>
  <c r="P196" i="17"/>
  <c r="P167" i="17"/>
  <c r="P57" i="21"/>
  <c r="P232" i="17"/>
  <c r="P216" i="17"/>
  <c r="P280" i="17"/>
  <c r="P250" i="17"/>
  <c r="P227" i="17"/>
  <c r="P270" i="17"/>
  <c r="P234" i="17"/>
  <c r="P185" i="17"/>
  <c r="P311" i="17"/>
  <c r="P266" i="17"/>
  <c r="P333" i="17"/>
  <c r="P218" i="17"/>
  <c r="P228" i="17"/>
  <c r="P274" i="17"/>
  <c r="P261" i="17"/>
  <c r="P279" i="17"/>
  <c r="P190" i="17"/>
  <c r="P248" i="17"/>
  <c r="P253" i="17"/>
  <c r="P210" i="17"/>
  <c r="P321" i="17"/>
  <c r="P252" i="17"/>
  <c r="P308" i="17"/>
  <c r="P206" i="17"/>
  <c r="P213" i="17"/>
  <c r="P204" i="17"/>
  <c r="P273" i="17"/>
  <c r="P162" i="17"/>
  <c r="P191" i="17"/>
  <c r="P164" i="17"/>
  <c r="P257" i="17"/>
  <c r="P268" i="17"/>
  <c r="P58" i="21"/>
  <c r="P192" i="17"/>
  <c r="P251" i="17"/>
  <c r="P320" i="17"/>
  <c r="P209" i="17"/>
  <c r="P222" i="17"/>
  <c r="P177" i="17"/>
  <c r="P245" i="17"/>
  <c r="P262" i="17"/>
  <c r="P282" i="17"/>
  <c r="P243" i="17"/>
  <c r="P309" i="17"/>
  <c r="I39" i="18" l="1"/>
  <c r="I24" i="18"/>
  <c r="D10" i="16"/>
  <c r="O60" i="17"/>
  <c r="O59" i="17"/>
  <c r="O58" i="17"/>
  <c r="O57" i="17"/>
  <c r="P71" i="17"/>
  <c r="P157" i="17"/>
  <c r="P59" i="17"/>
  <c r="P89" i="17"/>
  <c r="P155" i="17"/>
  <c r="P154" i="17"/>
  <c r="P58" i="17"/>
  <c r="P118" i="17"/>
  <c r="P146" i="17"/>
  <c r="P43" i="17"/>
  <c r="P121" i="17"/>
  <c r="P41" i="17"/>
  <c r="P108" i="17"/>
  <c r="P45" i="17"/>
  <c r="P119" i="17"/>
  <c r="P86" i="17"/>
  <c r="P114" i="17"/>
  <c r="P150" i="17"/>
  <c r="P60" i="17"/>
  <c r="P102" i="17"/>
  <c r="P112" i="17"/>
  <c r="P107" i="17"/>
  <c r="P74" i="17"/>
  <c r="P69" i="17"/>
  <c r="P142" i="17"/>
  <c r="P53" i="17"/>
  <c r="P96" i="17"/>
  <c r="P97" i="17"/>
  <c r="P101" i="17"/>
  <c r="P156" i="17"/>
  <c r="P113" i="17"/>
  <c r="P82" i="17"/>
  <c r="P88" i="17"/>
  <c r="P110" i="17"/>
  <c r="P120" i="17"/>
  <c r="P68" i="17"/>
  <c r="P144" i="17"/>
  <c r="P105" i="17"/>
  <c r="P49" i="17"/>
  <c r="P87" i="17"/>
  <c r="P42" i="17"/>
  <c r="P148" i="17"/>
  <c r="P57" i="17"/>
  <c r="P147" i="17"/>
  <c r="P80" i="17"/>
  <c r="P104" i="17"/>
  <c r="P51" i="17"/>
  <c r="I41" i="18" l="1"/>
  <c r="I49" i="18" s="1"/>
  <c r="I50" i="18" s="1"/>
  <c r="A4" i="15"/>
  <c r="A4" i="2"/>
  <c r="A4" i="17" l="1"/>
  <c r="B6" i="16"/>
  <c r="G57" i="21" l="1"/>
  <c r="G58" i="21"/>
  <c r="D54" i="21"/>
  <c r="F53" i="21"/>
  <c r="F52" i="21"/>
  <c r="F47" i="21"/>
  <c r="F46" i="21"/>
  <c r="F45" i="21"/>
  <c r="E43" i="21"/>
  <c r="E35" i="21"/>
  <c r="E27" i="21"/>
  <c r="E22" i="21"/>
  <c r="G54" i="21"/>
  <c r="G53" i="21"/>
  <c r="G52" i="21"/>
  <c r="G50" i="21"/>
  <c r="G49" i="21"/>
  <c r="G47" i="21"/>
  <c r="G46" i="21"/>
  <c r="G45" i="21"/>
  <c r="G44" i="21"/>
  <c r="G43" i="21"/>
  <c r="G40" i="21"/>
  <c r="G37" i="21"/>
  <c r="G35" i="21"/>
  <c r="G34" i="21"/>
  <c r="G33" i="21"/>
  <c r="G32" i="21"/>
  <c r="G31" i="21"/>
  <c r="G30" i="21"/>
  <c r="G27" i="21"/>
  <c r="G26" i="21"/>
  <c r="G25" i="21"/>
  <c r="G17" i="21"/>
  <c r="G18" i="21"/>
  <c r="G19" i="21"/>
  <c r="G20" i="21"/>
  <c r="G21" i="21"/>
  <c r="G22" i="21"/>
  <c r="G16" i="21"/>
  <c r="C9" i="21"/>
  <c r="C8" i="21"/>
  <c r="C7" i="21"/>
  <c r="C6" i="21"/>
  <c r="G56" i="20"/>
  <c r="G57" i="20"/>
  <c r="G55" i="20"/>
  <c r="D57" i="20"/>
  <c r="D56" i="20"/>
  <c r="D55" i="20"/>
  <c r="C53" i="20"/>
  <c r="C50" i="20"/>
  <c r="D49" i="20"/>
  <c r="E48" i="20"/>
  <c r="E47" i="20"/>
  <c r="D45" i="20"/>
  <c r="C44" i="20"/>
  <c r="C41" i="20"/>
  <c r="C39" i="20"/>
  <c r="D37" i="20"/>
  <c r="D36" i="20"/>
  <c r="D35" i="20"/>
  <c r="C34" i="20"/>
  <c r="D32" i="20"/>
  <c r="D31" i="20"/>
  <c r="D30" i="20"/>
  <c r="D29" i="20"/>
  <c r="D28" i="20"/>
  <c r="D27" i="20"/>
  <c r="C26" i="20"/>
  <c r="C24" i="20"/>
  <c r="D22" i="20"/>
  <c r="D21" i="20"/>
  <c r="D20" i="20"/>
  <c r="C19" i="20"/>
  <c r="D17" i="20"/>
  <c r="D16" i="20"/>
  <c r="D15" i="20"/>
  <c r="D14" i="20"/>
  <c r="C13" i="20"/>
  <c r="G50" i="20"/>
  <c r="G49" i="20"/>
  <c r="G48" i="20"/>
  <c r="G47" i="20"/>
  <c r="G46" i="20"/>
  <c r="G45" i="20"/>
  <c r="G41" i="20"/>
  <c r="G39" i="20"/>
  <c r="G37" i="20"/>
  <c r="G36" i="20"/>
  <c r="G35" i="20"/>
  <c r="G32" i="20"/>
  <c r="G31" i="20"/>
  <c r="G30" i="20"/>
  <c r="G29" i="20"/>
  <c r="G28" i="20"/>
  <c r="G27" i="20"/>
  <c r="G24" i="20"/>
  <c r="G22" i="20"/>
  <c r="G21" i="20"/>
  <c r="G20" i="20"/>
  <c r="G15" i="20"/>
  <c r="G16" i="20"/>
  <c r="G17" i="20"/>
  <c r="G14" i="20"/>
  <c r="C7" i="20"/>
  <c r="C8" i="20"/>
  <c r="C9" i="20"/>
  <c r="C6" i="20"/>
  <c r="C7" i="19"/>
  <c r="C8" i="19"/>
  <c r="C9" i="19"/>
  <c r="C6" i="19"/>
  <c r="G27" i="19"/>
  <c r="G26" i="19"/>
  <c r="G24" i="19"/>
  <c r="G23" i="19"/>
  <c r="G21" i="19"/>
  <c r="G20" i="19"/>
  <c r="G18" i="19"/>
  <c r="G17" i="19"/>
  <c r="G15" i="19"/>
  <c r="G14" i="19"/>
  <c r="G13" i="19"/>
  <c r="G56" i="18"/>
  <c r="G57" i="18"/>
  <c r="G55" i="18"/>
  <c r="E307" i="17" l="1"/>
  <c r="E57" i="21"/>
  <c r="G50" i="18"/>
  <c r="G49" i="18"/>
  <c r="G48" i="18"/>
  <c r="G47" i="18"/>
  <c r="G45" i="18"/>
  <c r="G41" i="18"/>
  <c r="G39" i="18"/>
  <c r="G37" i="18"/>
  <c r="G36" i="18"/>
  <c r="G35" i="18"/>
  <c r="G32" i="18"/>
  <c r="G31" i="18"/>
  <c r="G30" i="18"/>
  <c r="G29" i="18"/>
  <c r="G28" i="18"/>
  <c r="G27" i="18"/>
  <c r="G24" i="18"/>
  <c r="G22" i="18"/>
  <c r="G21" i="18"/>
  <c r="G20" i="18"/>
  <c r="G17" i="18"/>
  <c r="G16" i="18"/>
  <c r="G15" i="18"/>
  <c r="G14" i="18"/>
  <c r="I4" i="18"/>
  <c r="G344" i="17"/>
  <c r="G343" i="17"/>
  <c r="G342" i="17"/>
  <c r="G341" i="17"/>
  <c r="G333" i="17"/>
  <c r="G332" i="17"/>
  <c r="G331" i="17"/>
  <c r="G330" i="17"/>
  <c r="C337" i="17"/>
  <c r="I344" i="17"/>
  <c r="I333" i="17"/>
  <c r="I322" i="17"/>
  <c r="G322" i="17"/>
  <c r="G321" i="17"/>
  <c r="G320" i="17"/>
  <c r="G319" i="17"/>
  <c r="G315" i="17"/>
  <c r="G313" i="17"/>
  <c r="G311" i="17"/>
  <c r="G309" i="17"/>
  <c r="G308" i="17"/>
  <c r="G307" i="17"/>
  <c r="G303" i="17"/>
  <c r="E248" i="17"/>
  <c r="D288" i="17"/>
  <c r="C286" i="17"/>
  <c r="E291" i="17"/>
  <c r="E290" i="17"/>
  <c r="G298" i="17"/>
  <c r="G297" i="17"/>
  <c r="G296" i="17"/>
  <c r="G295" i="17"/>
  <c r="G291" i="17"/>
  <c r="G290" i="17"/>
  <c r="E282" i="17" l="1"/>
  <c r="E281" i="17"/>
  <c r="G268" i="17"/>
  <c r="G258" i="17"/>
  <c r="G283" i="17"/>
  <c r="G282" i="17"/>
  <c r="G281" i="17"/>
  <c r="G280" i="17"/>
  <c r="G279" i="17"/>
  <c r="G278" i="17"/>
  <c r="G274" i="17"/>
  <c r="G273" i="17"/>
  <c r="G272" i="17"/>
  <c r="G270" i="17"/>
  <c r="G266" i="17"/>
  <c r="G264" i="17"/>
  <c r="G263" i="17"/>
  <c r="G262" i="17"/>
  <c r="G261" i="17"/>
  <c r="G259" i="17"/>
  <c r="G257" i="17"/>
  <c r="E283" i="17"/>
  <c r="E280" i="17"/>
  <c r="E279" i="17"/>
  <c r="E278" i="17"/>
  <c r="E273" i="17"/>
  <c r="E263" i="17"/>
  <c r="E261" i="17"/>
  <c r="E258" i="17"/>
  <c r="E268" i="17" s="1"/>
  <c r="E245" i="17"/>
  <c r="E241" i="17"/>
  <c r="G248" i="17"/>
  <c r="G245" i="17"/>
  <c r="G253" i="17"/>
  <c r="G252" i="17"/>
  <c r="G251" i="17"/>
  <c r="G250" i="17"/>
  <c r="G246" i="17"/>
  <c r="G244" i="17"/>
  <c r="G243" i="17"/>
  <c r="G242" i="17"/>
  <c r="G241" i="17"/>
  <c r="G240" i="17"/>
  <c r="E222" i="17"/>
  <c r="E226" i="17" s="1"/>
  <c r="G238" i="17"/>
  <c r="G236" i="17"/>
  <c r="G235" i="17"/>
  <c r="G234" i="17"/>
  <c r="G232" i="17"/>
  <c r="G228" i="17"/>
  <c r="G227" i="17"/>
  <c r="G226" i="17"/>
  <c r="G222" i="17"/>
  <c r="K147" i="17"/>
  <c r="L147" i="17"/>
  <c r="M147" i="17"/>
  <c r="N147" i="17"/>
  <c r="J147" i="17"/>
  <c r="G148" i="17"/>
  <c r="G147" i="17"/>
  <c r="G146" i="17"/>
  <c r="G218" i="17"/>
  <c r="G217" i="17"/>
  <c r="G216" i="17"/>
  <c r="G215" i="17"/>
  <c r="G214" i="17"/>
  <c r="G213" i="17"/>
  <c r="G212" i="17"/>
  <c r="G210" i="17"/>
  <c r="G209" i="17"/>
  <c r="G207" i="17"/>
  <c r="G206" i="17"/>
  <c r="G204" i="17"/>
  <c r="G202" i="17"/>
  <c r="G201" i="17"/>
  <c r="E192" i="17"/>
  <c r="E240" i="17" s="1"/>
  <c r="E189" i="17"/>
  <c r="E185" i="17"/>
  <c r="E184" i="17"/>
  <c r="D182" i="17"/>
  <c r="G194" i="17"/>
  <c r="G196" i="17"/>
  <c r="G192" i="17"/>
  <c r="G191" i="17"/>
  <c r="G190" i="17"/>
  <c r="G189" i="17"/>
  <c r="G185" i="17"/>
  <c r="G184" i="17"/>
  <c r="G157" i="17"/>
  <c r="G156" i="17"/>
  <c r="G155" i="17"/>
  <c r="G154" i="17"/>
  <c r="G142" i="17"/>
  <c r="G150" i="17"/>
  <c r="G144" i="17"/>
  <c r="E144" i="17"/>
  <c r="E142" i="17"/>
  <c r="D140" i="17"/>
  <c r="E150" i="17" s="1"/>
  <c r="G138" i="17"/>
  <c r="G137" i="17"/>
  <c r="G136" i="17"/>
  <c r="G135" i="17"/>
  <c r="G131" i="17"/>
  <c r="G130" i="17"/>
  <c r="D55" i="17"/>
  <c r="D84" i="17" s="1"/>
  <c r="D116" i="17" s="1"/>
  <c r="E131" i="17"/>
  <c r="E137" i="17" s="1"/>
  <c r="E130" i="17"/>
  <c r="E136" i="17" s="1"/>
  <c r="D128" i="17"/>
  <c r="C126" i="17"/>
  <c r="C125" i="17"/>
  <c r="C124" i="17"/>
  <c r="E104" i="17"/>
  <c r="E102" i="17"/>
  <c r="E101" i="17"/>
  <c r="D99" i="17"/>
  <c r="E97" i="17"/>
  <c r="E119" i="17" s="1"/>
  <c r="D94" i="17"/>
  <c r="G121" i="17"/>
  <c r="G120" i="17"/>
  <c r="G119" i="17"/>
  <c r="G118" i="17"/>
  <c r="E120" i="17"/>
  <c r="G69" i="17"/>
  <c r="G68" i="17"/>
  <c r="G72" i="17"/>
  <c r="G74" i="17"/>
  <c r="G71" i="17"/>
  <c r="E72" i="17"/>
  <c r="E71" i="17"/>
  <c r="E68" i="17"/>
  <c r="D66" i="17"/>
  <c r="C64" i="17"/>
  <c r="C63" i="17"/>
  <c r="C92" i="17"/>
  <c r="G110" i="17"/>
  <c r="G105" i="17"/>
  <c r="G104" i="17"/>
  <c r="G102" i="17"/>
  <c r="G101" i="17"/>
  <c r="G114" i="17"/>
  <c r="G113" i="17"/>
  <c r="G112" i="17"/>
  <c r="G108" i="17"/>
  <c r="G107" i="17"/>
  <c r="G97" i="17"/>
  <c r="G96" i="17"/>
  <c r="G89" i="17"/>
  <c r="G88" i="17"/>
  <c r="G87" i="17"/>
  <c r="G86" i="17"/>
  <c r="E89" i="17"/>
  <c r="E88" i="17"/>
  <c r="E86" i="17"/>
  <c r="J86" i="17"/>
  <c r="E82" i="17"/>
  <c r="E80" i="17"/>
  <c r="E78" i="17"/>
  <c r="D76" i="17"/>
  <c r="G82" i="17"/>
  <c r="G80" i="17"/>
  <c r="G78" i="17"/>
  <c r="G58" i="17"/>
  <c r="G59" i="17"/>
  <c r="G60" i="17"/>
  <c r="G57" i="17"/>
  <c r="D152" i="17" l="1"/>
  <c r="D276" i="17" s="1"/>
  <c r="D293" i="17" s="1"/>
  <c r="D317" i="17" s="1"/>
  <c r="D328" i="17" s="1"/>
  <c r="D339" i="17" s="1"/>
  <c r="D133" i="17"/>
  <c r="G51" i="17"/>
  <c r="G49" i="17"/>
  <c r="G42" i="17"/>
  <c r="G53" i="17"/>
  <c r="G45" i="17"/>
  <c r="G43" i="17"/>
  <c r="G41" i="17"/>
  <c r="G34" i="17"/>
  <c r="G33" i="17"/>
  <c r="G32" i="17"/>
  <c r="G31" i="17"/>
  <c r="I34" i="17"/>
  <c r="G27" i="17"/>
  <c r="G25" i="17"/>
  <c r="G23" i="17"/>
  <c r="G19" i="17"/>
  <c r="G18" i="17"/>
  <c r="G17" i="17"/>
  <c r="C7" i="17"/>
  <c r="C8" i="17"/>
  <c r="C9" i="17"/>
  <c r="C6" i="17"/>
  <c r="I51" i="4"/>
  <c r="G127" i="15"/>
  <c r="G122" i="15"/>
  <c r="G121" i="15"/>
  <c r="G114" i="15"/>
  <c r="E105" i="15"/>
  <c r="E110" i="15"/>
  <c r="G110" i="15"/>
  <c r="G105" i="15"/>
  <c r="G100" i="15"/>
  <c r="G99" i="15"/>
  <c r="E97" i="15"/>
  <c r="G97" i="15"/>
  <c r="G96" i="15"/>
  <c r="G94" i="15"/>
  <c r="G90" i="15"/>
  <c r="G89" i="15"/>
  <c r="G85" i="15"/>
  <c r="E85" i="15"/>
  <c r="G78" i="15"/>
  <c r="G76" i="15"/>
  <c r="G74" i="15"/>
  <c r="G72" i="15"/>
  <c r="G68" i="15"/>
  <c r="G67" i="15"/>
  <c r="E58" i="15"/>
  <c r="G58" i="15"/>
  <c r="G57" i="15"/>
  <c r="G55" i="15"/>
  <c r="G54" i="15"/>
  <c r="G50" i="15"/>
  <c r="G43" i="15"/>
  <c r="G42" i="15"/>
  <c r="G33" i="15"/>
  <c r="G29" i="15"/>
  <c r="D31" i="15"/>
  <c r="G22" i="15"/>
  <c r="G18" i="15"/>
  <c r="G17" i="15"/>
  <c r="A1" i="9"/>
  <c r="A1" i="16"/>
  <c r="C6" i="16" s="1"/>
  <c r="A1" i="6"/>
  <c r="A1" i="5"/>
  <c r="A1" i="21"/>
  <c r="C11" i="21" s="1"/>
  <c r="C13" i="21" s="1"/>
  <c r="A1" i="20"/>
  <c r="C11" i="20" s="1"/>
  <c r="A1" i="19"/>
  <c r="C11" i="19" s="1"/>
  <c r="A1" i="18"/>
  <c r="C11" i="18" s="1"/>
  <c r="A1" i="17"/>
  <c r="C11" i="17" s="1"/>
  <c r="A1" i="15"/>
  <c r="C11" i="15" s="1"/>
  <c r="A1" i="4"/>
  <c r="A1" i="3"/>
  <c r="A1" i="2"/>
  <c r="G12" i="2"/>
  <c r="A2" i="24" l="1"/>
  <c r="A2" i="25"/>
  <c r="E105" i="17"/>
  <c r="E194" i="17"/>
  <c r="A2" i="23"/>
  <c r="E100" i="15"/>
  <c r="C7" i="15"/>
  <c r="C8" i="15"/>
  <c r="C9" i="15"/>
  <c r="C6" i="15"/>
  <c r="B11" i="21" l="1"/>
  <c r="B11" i="20"/>
  <c r="B11" i="19"/>
  <c r="B11" i="18"/>
  <c r="O283" i="17"/>
  <c r="O280" i="17"/>
  <c r="O279" i="17"/>
  <c r="O278" i="17"/>
  <c r="O274" i="17"/>
  <c r="I60" i="17"/>
  <c r="J57" i="17" s="1"/>
  <c r="O177" i="17"/>
  <c r="O176" i="17"/>
  <c r="O175" i="17"/>
  <c r="O174" i="17"/>
  <c r="J174" i="17"/>
  <c r="J176" i="17" s="1"/>
  <c r="J25" i="21" s="1"/>
  <c r="K168" i="17"/>
  <c r="L168" i="17"/>
  <c r="M168" i="17"/>
  <c r="N168" i="17"/>
  <c r="J168" i="17"/>
  <c r="I164" i="17"/>
  <c r="K162" i="17"/>
  <c r="L162" i="17"/>
  <c r="M162" i="17"/>
  <c r="N162" i="17"/>
  <c r="J162" i="17"/>
  <c r="J341" i="17"/>
  <c r="J344" i="17" s="1"/>
  <c r="J31" i="20" s="1"/>
  <c r="J330" i="17"/>
  <c r="J333" i="17" s="1"/>
  <c r="J16" i="20" s="1"/>
  <c r="O322" i="17"/>
  <c r="O320" i="17"/>
  <c r="O321" i="17"/>
  <c r="O319" i="17"/>
  <c r="J319" i="17"/>
  <c r="J321" i="17" s="1"/>
  <c r="J34" i="21" s="1"/>
  <c r="K303" i="17"/>
  <c r="L303" i="17"/>
  <c r="M303" i="17"/>
  <c r="N303" i="17"/>
  <c r="J303" i="17"/>
  <c r="I298" i="17"/>
  <c r="J295" i="17" s="1"/>
  <c r="J291" i="17"/>
  <c r="J297" i="17" s="1"/>
  <c r="J33" i="21" s="1"/>
  <c r="K291" i="17"/>
  <c r="K297" i="17" s="1"/>
  <c r="K33" i="21" s="1"/>
  <c r="L291" i="17"/>
  <c r="L297" i="17" s="1"/>
  <c r="L33" i="21" s="1"/>
  <c r="M291" i="17"/>
  <c r="M297" i="17" s="1"/>
  <c r="M33" i="21" s="1"/>
  <c r="N291" i="17"/>
  <c r="N297" i="17" s="1"/>
  <c r="N33" i="21" s="1"/>
  <c r="K290" i="17"/>
  <c r="K296" i="17" s="1"/>
  <c r="K32" i="21" s="1"/>
  <c r="L290" i="17"/>
  <c r="L296" i="17" s="1"/>
  <c r="L32" i="21" s="1"/>
  <c r="M290" i="17"/>
  <c r="M296" i="17" s="1"/>
  <c r="M32" i="21" s="1"/>
  <c r="N290" i="17"/>
  <c r="N296" i="17" s="1"/>
  <c r="N32" i="21" s="1"/>
  <c r="J290" i="17"/>
  <c r="J296" i="17" s="1"/>
  <c r="J32" i="21" s="1"/>
  <c r="I258" i="17"/>
  <c r="I105" i="15"/>
  <c r="I110" i="15"/>
  <c r="I248" i="17"/>
  <c r="I253" i="17"/>
  <c r="J250" i="17" s="1"/>
  <c r="O236" i="17"/>
  <c r="I236" i="17"/>
  <c r="J234" i="17" s="1"/>
  <c r="K230" i="17"/>
  <c r="K268" i="17" s="1"/>
  <c r="L230" i="17"/>
  <c r="L268" i="17" s="1"/>
  <c r="M230" i="17"/>
  <c r="M245" i="17" s="1"/>
  <c r="N230" i="17"/>
  <c r="N268" i="17" s="1"/>
  <c r="J230" i="17"/>
  <c r="J268" i="17" s="1"/>
  <c r="E213" i="17"/>
  <c r="E214" i="17" s="1"/>
  <c r="E215" i="17" s="1"/>
  <c r="I209" i="17"/>
  <c r="I206" i="17"/>
  <c r="I204" i="17"/>
  <c r="K194" i="17"/>
  <c r="L194" i="17"/>
  <c r="M194" i="17"/>
  <c r="N194" i="17"/>
  <c r="J194" i="17"/>
  <c r="J185" i="17"/>
  <c r="J191" i="17" s="1"/>
  <c r="K185" i="17"/>
  <c r="K191" i="17" s="1"/>
  <c r="L185" i="17"/>
  <c r="L191" i="17" s="1"/>
  <c r="M185" i="17"/>
  <c r="M191" i="17" s="1"/>
  <c r="N185" i="17"/>
  <c r="N191" i="17" s="1"/>
  <c r="K184" i="17"/>
  <c r="K190" i="17" s="1"/>
  <c r="L184" i="17"/>
  <c r="L190" i="17" s="1"/>
  <c r="M184" i="17"/>
  <c r="M190" i="17" s="1"/>
  <c r="N184" i="17"/>
  <c r="N190" i="17" s="1"/>
  <c r="J184" i="17"/>
  <c r="J190" i="17" s="1"/>
  <c r="O157" i="17"/>
  <c r="O156" i="17"/>
  <c r="O155" i="17"/>
  <c r="O154" i="17"/>
  <c r="I157" i="17"/>
  <c r="J154" i="17" s="1"/>
  <c r="J156" i="17" s="1"/>
  <c r="K142" i="17"/>
  <c r="L142" i="17"/>
  <c r="M142" i="17"/>
  <c r="N142" i="17"/>
  <c r="J142" i="17"/>
  <c r="O138" i="17"/>
  <c r="O137" i="17"/>
  <c r="O136" i="17"/>
  <c r="O135" i="17"/>
  <c r="I138" i="17"/>
  <c r="J135" i="17" s="1"/>
  <c r="J144" i="17" s="1"/>
  <c r="O121" i="17"/>
  <c r="O120" i="17"/>
  <c r="O119" i="17"/>
  <c r="O118" i="17"/>
  <c r="J131" i="17"/>
  <c r="J137" i="17" s="1"/>
  <c r="K131" i="17"/>
  <c r="K137" i="17" s="1"/>
  <c r="L131" i="17"/>
  <c r="L137" i="17" s="1"/>
  <c r="M131" i="17"/>
  <c r="M137" i="17" s="1"/>
  <c r="N131" i="17"/>
  <c r="N137" i="17" s="1"/>
  <c r="K130" i="17"/>
  <c r="K136" i="17" s="1"/>
  <c r="L130" i="17"/>
  <c r="L136" i="17" s="1"/>
  <c r="M130" i="17"/>
  <c r="M136" i="17" s="1"/>
  <c r="N130" i="17"/>
  <c r="N136" i="17" s="1"/>
  <c r="J130" i="17"/>
  <c r="J136" i="17" s="1"/>
  <c r="I104" i="17"/>
  <c r="I101" i="17"/>
  <c r="K97" i="17"/>
  <c r="K119" i="17" s="1"/>
  <c r="K27" i="25" s="1"/>
  <c r="K28" i="25" s="1"/>
  <c r="L97" i="17"/>
  <c r="L119" i="17" s="1"/>
  <c r="L27" i="25" s="1"/>
  <c r="L28" i="25" s="1"/>
  <c r="M97" i="17"/>
  <c r="M119" i="17" s="1"/>
  <c r="M27" i="25" s="1"/>
  <c r="M28" i="25" s="1"/>
  <c r="N97" i="17"/>
  <c r="N119" i="17" s="1"/>
  <c r="N27" i="25" s="1"/>
  <c r="N28" i="25" s="1"/>
  <c r="J97" i="17"/>
  <c r="J119" i="17" s="1"/>
  <c r="J27" i="25" s="1"/>
  <c r="J28" i="25" s="1"/>
  <c r="I96" i="17"/>
  <c r="I121" i="17" s="1"/>
  <c r="O89" i="17"/>
  <c r="O88" i="17"/>
  <c r="O87" i="17"/>
  <c r="O86" i="17"/>
  <c r="J71" i="17"/>
  <c r="K71" i="17"/>
  <c r="L71" i="17"/>
  <c r="M71" i="17"/>
  <c r="N71" i="17"/>
  <c r="K72" i="17"/>
  <c r="L72" i="17"/>
  <c r="M72" i="17"/>
  <c r="N72" i="17"/>
  <c r="I68" i="17"/>
  <c r="K49" i="17"/>
  <c r="L49" i="17"/>
  <c r="M49" i="17"/>
  <c r="N49" i="17"/>
  <c r="J49" i="17"/>
  <c r="K42" i="17"/>
  <c r="L42" i="17"/>
  <c r="M42" i="17"/>
  <c r="N42" i="17"/>
  <c r="J42" i="17"/>
  <c r="O32" i="17"/>
  <c r="O34" i="17"/>
  <c r="O33" i="17"/>
  <c r="O31" i="17"/>
  <c r="J31" i="17"/>
  <c r="J23" i="17"/>
  <c r="K18" i="17"/>
  <c r="L18" i="17"/>
  <c r="M18" i="17"/>
  <c r="N18" i="17"/>
  <c r="J17" i="17"/>
  <c r="N30" i="21" l="1"/>
  <c r="N29" i="24"/>
  <c r="M30" i="21"/>
  <c r="M29" i="24"/>
  <c r="J30" i="21"/>
  <c r="J29" i="24"/>
  <c r="K30" i="21"/>
  <c r="K29" i="24"/>
  <c r="J26" i="21"/>
  <c r="J27" i="21" s="1"/>
  <c r="J25" i="24"/>
  <c r="J26" i="24" s="1"/>
  <c r="J24" i="23"/>
  <c r="J25" i="23" s="1"/>
  <c r="N31" i="21"/>
  <c r="N30" i="24"/>
  <c r="J20" i="21"/>
  <c r="J52" i="21" s="1"/>
  <c r="J20" i="24"/>
  <c r="N26" i="21"/>
  <c r="N24" i="23"/>
  <c r="N25" i="24"/>
  <c r="M26" i="21"/>
  <c r="M25" i="24"/>
  <c r="M24" i="23"/>
  <c r="L31" i="21"/>
  <c r="L30" i="24"/>
  <c r="M31" i="21"/>
  <c r="M30" i="24"/>
  <c r="L26" i="21"/>
  <c r="L25" i="24"/>
  <c r="L24" i="23"/>
  <c r="K31" i="21"/>
  <c r="K30" i="24"/>
  <c r="J31" i="21"/>
  <c r="J30" i="24"/>
  <c r="I257" i="17"/>
  <c r="I274" i="17" s="1"/>
  <c r="J272" i="17" s="1"/>
  <c r="J298" i="17"/>
  <c r="J45" i="20" s="1"/>
  <c r="L30" i="21"/>
  <c r="L29" i="24"/>
  <c r="K26" i="21"/>
  <c r="K25" i="24"/>
  <c r="K24" i="23"/>
  <c r="K330" i="17"/>
  <c r="K333" i="17" s="1"/>
  <c r="K16" i="20" s="1"/>
  <c r="K341" i="17"/>
  <c r="K344" i="17" s="1"/>
  <c r="K31" i="20" s="1"/>
  <c r="K245" i="17"/>
  <c r="L245" i="17"/>
  <c r="M268" i="17"/>
  <c r="E216" i="17"/>
  <c r="E217" i="17" s="1"/>
  <c r="N202" i="17"/>
  <c r="M202" i="17"/>
  <c r="L202" i="17"/>
  <c r="H215" i="17" s="1"/>
  <c r="J245" i="17"/>
  <c r="K202" i="17"/>
  <c r="H214" i="17" s="1"/>
  <c r="N245" i="17"/>
  <c r="J202" i="17"/>
  <c r="H213" i="17" s="1"/>
  <c r="J118" i="17"/>
  <c r="I283" i="17"/>
  <c r="J278" i="17" s="1"/>
  <c r="I201" i="17"/>
  <c r="H212" i="17" s="1"/>
  <c r="I251" i="17"/>
  <c r="J138" i="17"/>
  <c r="J35" i="20" s="1"/>
  <c r="I259" i="17" l="1"/>
  <c r="I264" i="17" s="1"/>
  <c r="J261" i="17" s="1"/>
  <c r="J31" i="24"/>
  <c r="K295" i="17"/>
  <c r="K298" i="17" s="1"/>
  <c r="L295" i="17" s="1"/>
  <c r="L298" i="17" s="1"/>
  <c r="L341" i="17"/>
  <c r="L344" i="17" s="1"/>
  <c r="L31" i="20" s="1"/>
  <c r="L330" i="17"/>
  <c r="L333" i="17" s="1"/>
  <c r="L16" i="20" s="1"/>
  <c r="H216" i="17"/>
  <c r="H217" i="17"/>
  <c r="K135" i="17"/>
  <c r="K138" i="17" s="1"/>
  <c r="K35" i="20" s="1"/>
  <c r="K45" i="20" l="1"/>
  <c r="M341" i="17"/>
  <c r="M344" i="17" s="1"/>
  <c r="M31" i="20" s="1"/>
  <c r="M295" i="17"/>
  <c r="M298" i="17" s="1"/>
  <c r="L45" i="20"/>
  <c r="M330" i="17"/>
  <c r="M333" i="17" s="1"/>
  <c r="K144" i="17"/>
  <c r="H218" i="17"/>
  <c r="I55" i="18"/>
  <c r="L135" i="17"/>
  <c r="L138" i="17" s="1"/>
  <c r="L35" i="20" s="1"/>
  <c r="N341" i="17" l="1"/>
  <c r="N344" i="17" s="1"/>
  <c r="N31" i="20" s="1"/>
  <c r="N330" i="17"/>
  <c r="N333" i="17" s="1"/>
  <c r="N16" i="20" s="1"/>
  <c r="M16" i="20"/>
  <c r="N295" i="17"/>
  <c r="N298" i="17" s="1"/>
  <c r="N45" i="20" s="1"/>
  <c r="M45" i="20"/>
  <c r="I56" i="18"/>
  <c r="I12" i="5"/>
  <c r="L144" i="17"/>
  <c r="M135" i="17"/>
  <c r="M138" i="17" s="1"/>
  <c r="M35" i="20" s="1"/>
  <c r="I57" i="18" l="1"/>
  <c r="I13" i="5"/>
  <c r="M144" i="17"/>
  <c r="N135" i="17"/>
  <c r="N138" i="17" s="1"/>
  <c r="N35" i="20" s="1"/>
  <c r="I14" i="5" l="1"/>
  <c r="N144" i="17"/>
  <c r="J35" i="21" l="1"/>
  <c r="B11" i="17" l="1"/>
  <c r="I100" i="15"/>
  <c r="I97" i="15"/>
  <c r="I58" i="15"/>
  <c r="I55" i="15"/>
  <c r="B11" i="15"/>
  <c r="I207" i="17" l="1"/>
  <c r="I105" i="17"/>
  <c r="N108" i="17" s="1"/>
  <c r="I210" i="17"/>
  <c r="I102" i="17"/>
  <c r="I107" i="17" s="1"/>
  <c r="B6" i="9"/>
  <c r="C6" i="9"/>
  <c r="J108" i="17" l="1"/>
  <c r="M108" i="17"/>
  <c r="L108" i="17"/>
  <c r="K108" i="17"/>
  <c r="J9" i="6"/>
  <c r="J12" i="25" s="1"/>
  <c r="H21" i="6"/>
  <c r="J9" i="24" l="1"/>
  <c r="J9" i="23"/>
  <c r="J31" i="23" s="1"/>
  <c r="J9" i="21"/>
  <c r="J9" i="20"/>
  <c r="J46" i="20" s="1"/>
  <c r="J9" i="19"/>
  <c r="K9" i="6"/>
  <c r="K12" i="25" s="1"/>
  <c r="J9" i="17"/>
  <c r="J19" i="17" s="1"/>
  <c r="J9" i="15"/>
  <c r="I19" i="6"/>
  <c r="G39" i="2"/>
  <c r="J6" i="6"/>
  <c r="J6" i="24" l="1"/>
  <c r="J6" i="23"/>
  <c r="J307" i="17"/>
  <c r="K9" i="23"/>
  <c r="K31" i="23" s="1"/>
  <c r="K9" i="24"/>
  <c r="K9" i="20"/>
  <c r="K9" i="19"/>
  <c r="K9" i="21"/>
  <c r="J6" i="21"/>
  <c r="J6" i="19"/>
  <c r="J6" i="20"/>
  <c r="J6" i="15"/>
  <c r="J6" i="17"/>
  <c r="J166" i="17"/>
  <c r="J214" i="17"/>
  <c r="J110" i="17"/>
  <c r="J113" i="17" s="1"/>
  <c r="J215" i="17"/>
  <c r="J252" i="17"/>
  <c r="J280" i="17" s="1"/>
  <c r="J216" i="17"/>
  <c r="J217" i="17"/>
  <c r="J212" i="17"/>
  <c r="J213" i="17"/>
  <c r="J112" i="17"/>
  <c r="L9" i="6"/>
  <c r="L12" i="25" s="1"/>
  <c r="K9" i="17"/>
  <c r="K19" i="17" s="1"/>
  <c r="K9" i="15"/>
  <c r="J7" i="6"/>
  <c r="J21" i="24" l="1"/>
  <c r="J23" i="25"/>
  <c r="J7" i="24"/>
  <c r="J7" i="25"/>
  <c r="J8" i="25" s="1"/>
  <c r="J9" i="25" s="1"/>
  <c r="J10" i="25" s="1"/>
  <c r="J11" i="25" s="1"/>
  <c r="J34" i="25" s="1"/>
  <c r="L9" i="23"/>
  <c r="L31" i="23" s="1"/>
  <c r="L9" i="24"/>
  <c r="J21" i="21"/>
  <c r="J53" i="21" s="1"/>
  <c r="J20" i="23"/>
  <c r="J7" i="23"/>
  <c r="L9" i="19"/>
  <c r="L9" i="20"/>
  <c r="L9" i="21"/>
  <c r="J218" i="17"/>
  <c r="J227" i="17" s="1"/>
  <c r="J7" i="19"/>
  <c r="J7" i="21"/>
  <c r="J7" i="20"/>
  <c r="J114" i="17"/>
  <c r="J120" i="17" s="1"/>
  <c r="J20" i="19" s="1"/>
  <c r="M9" i="6"/>
  <c r="M12" i="25" s="1"/>
  <c r="L9" i="17"/>
  <c r="L19" i="17" s="1"/>
  <c r="L9" i="15"/>
  <c r="K110" i="17"/>
  <c r="K113" i="17" s="1"/>
  <c r="K215" i="17"/>
  <c r="K217" i="17"/>
  <c r="K216" i="17"/>
  <c r="K212" i="17"/>
  <c r="K112" i="17"/>
  <c r="K214" i="17"/>
  <c r="K213" i="17"/>
  <c r="J41" i="17"/>
  <c r="J43" i="17" s="1"/>
  <c r="J45" i="17" s="1"/>
  <c r="J58" i="17" s="1"/>
  <c r="J32" i="17"/>
  <c r="J7" i="15"/>
  <c r="J7" i="17"/>
  <c r="J5" i="6"/>
  <c r="K6" i="6"/>
  <c r="K6" i="24" l="1"/>
  <c r="K6" i="25"/>
  <c r="J5" i="24"/>
  <c r="J5" i="25"/>
  <c r="M9" i="23"/>
  <c r="M31" i="23" s="1"/>
  <c r="M9" i="24"/>
  <c r="K6" i="23"/>
  <c r="J45" i="21"/>
  <c r="J5" i="23"/>
  <c r="J14" i="19"/>
  <c r="J13" i="19"/>
  <c r="J15" i="19" s="1"/>
  <c r="L214" i="17"/>
  <c r="J69" i="17"/>
  <c r="J74" i="17" s="1"/>
  <c r="J87" i="17" s="1"/>
  <c r="J17" i="19" s="1"/>
  <c r="K114" i="17"/>
  <c r="K222" i="17" s="1"/>
  <c r="M9" i="20"/>
  <c r="M9" i="19"/>
  <c r="M9" i="21"/>
  <c r="J5" i="20"/>
  <c r="J5" i="19"/>
  <c r="J5" i="21"/>
  <c r="K6" i="21"/>
  <c r="K6" i="19"/>
  <c r="K6" i="20"/>
  <c r="J222" i="17"/>
  <c r="K218" i="17"/>
  <c r="K227" i="17" s="1"/>
  <c r="K41" i="17"/>
  <c r="K43" i="17" s="1"/>
  <c r="K45" i="17" s="1"/>
  <c r="K58" i="17" s="1"/>
  <c r="K32" i="17"/>
  <c r="K6" i="15"/>
  <c r="K6" i="17"/>
  <c r="J121" i="17"/>
  <c r="J20" i="20" s="1"/>
  <c r="J5" i="15"/>
  <c r="J5" i="17"/>
  <c r="L110" i="17"/>
  <c r="L113" i="17" s="1"/>
  <c r="L216" i="17"/>
  <c r="L217" i="17"/>
  <c r="L215" i="17"/>
  <c r="L112" i="17"/>
  <c r="L212" i="17"/>
  <c r="L213" i="17"/>
  <c r="M9" i="17"/>
  <c r="M19" i="17" s="1"/>
  <c r="M9" i="15"/>
  <c r="N9" i="6"/>
  <c r="N12" i="25" s="1"/>
  <c r="K7" i="6"/>
  <c r="K7" i="25" s="1"/>
  <c r="K8" i="25" l="1"/>
  <c r="N9" i="23"/>
  <c r="N31" i="23" s="1"/>
  <c r="N9" i="24"/>
  <c r="K7" i="23"/>
  <c r="K7" i="24"/>
  <c r="D11" i="16"/>
  <c r="K14" i="19"/>
  <c r="K13" i="19"/>
  <c r="J18" i="19"/>
  <c r="J21" i="19" s="1"/>
  <c r="K120" i="17"/>
  <c r="N9" i="21"/>
  <c r="N9" i="19"/>
  <c r="N9" i="20"/>
  <c r="M213" i="17"/>
  <c r="K7" i="21"/>
  <c r="K7" i="19"/>
  <c r="K7" i="20"/>
  <c r="J226" i="17"/>
  <c r="J228" i="17" s="1"/>
  <c r="J232" i="17" s="1"/>
  <c r="K7" i="17"/>
  <c r="N9" i="17"/>
  <c r="N19" i="17" s="1"/>
  <c r="N9" i="15"/>
  <c r="L41" i="17"/>
  <c r="L43" i="17" s="1"/>
  <c r="L45" i="17" s="1"/>
  <c r="L58" i="17" s="1"/>
  <c r="L32" i="17"/>
  <c r="K118" i="17"/>
  <c r="M110" i="17"/>
  <c r="M113" i="17" s="1"/>
  <c r="M217" i="17"/>
  <c r="M216" i="17"/>
  <c r="M112" i="17"/>
  <c r="M215" i="17"/>
  <c r="M212" i="17"/>
  <c r="L114" i="17"/>
  <c r="M214" i="17"/>
  <c r="L218" i="17"/>
  <c r="K226" i="17"/>
  <c r="K228" i="17" s="1"/>
  <c r="K5" i="6"/>
  <c r="K7" i="15"/>
  <c r="L6" i="6"/>
  <c r="N216" i="17" l="1"/>
  <c r="K9" i="25"/>
  <c r="K10" i="25" s="1"/>
  <c r="K11" i="25" s="1"/>
  <c r="K34" i="25" s="1"/>
  <c r="L6" i="24"/>
  <c r="L6" i="25"/>
  <c r="K5" i="24"/>
  <c r="K5" i="25"/>
  <c r="K5" i="23"/>
  <c r="L6" i="23"/>
  <c r="K15" i="19"/>
  <c r="L14" i="19"/>
  <c r="L13" i="19"/>
  <c r="N214" i="17"/>
  <c r="K69" i="17"/>
  <c r="K74" i="17" s="1"/>
  <c r="K87" i="17" s="1"/>
  <c r="K17" i="19" s="1"/>
  <c r="K20" i="19"/>
  <c r="K121" i="17"/>
  <c r="N213" i="17"/>
  <c r="L6" i="19"/>
  <c r="L6" i="20"/>
  <c r="L6" i="21"/>
  <c r="K5" i="19"/>
  <c r="K5" i="21"/>
  <c r="K5" i="20"/>
  <c r="J241" i="17"/>
  <c r="M41" i="17"/>
  <c r="M43" i="17" s="1"/>
  <c r="M45" i="17" s="1"/>
  <c r="M58" i="17" s="1"/>
  <c r="M32" i="17"/>
  <c r="L227" i="17"/>
  <c r="N110" i="17"/>
  <c r="N113" i="17" s="1"/>
  <c r="N217" i="17"/>
  <c r="N112" i="17"/>
  <c r="L6" i="15"/>
  <c r="L6" i="17"/>
  <c r="L120" i="17"/>
  <c r="L222" i="17"/>
  <c r="M114" i="17"/>
  <c r="K5" i="15"/>
  <c r="K5" i="17"/>
  <c r="N212" i="17"/>
  <c r="M218" i="17"/>
  <c r="M227" i="17" s="1"/>
  <c r="K241" i="17"/>
  <c r="K232" i="17"/>
  <c r="N215" i="17"/>
  <c r="J235" i="17"/>
  <c r="J236" i="17" s="1"/>
  <c r="J36" i="20" s="1"/>
  <c r="J282" i="17"/>
  <c r="L7" i="6"/>
  <c r="L7" i="25" s="1"/>
  <c r="B11" i="6"/>
  <c r="L8" i="25" l="1"/>
  <c r="L9" i="25" s="1"/>
  <c r="L10" i="25" s="1"/>
  <c r="L11" i="25" s="1"/>
  <c r="L34" i="25" s="1"/>
  <c r="K18" i="19"/>
  <c r="K21" i="19" s="1"/>
  <c r="L7" i="23"/>
  <c r="L7" i="24"/>
  <c r="K45" i="21"/>
  <c r="D12" i="16"/>
  <c r="L15" i="19"/>
  <c r="M14" i="19"/>
  <c r="M13" i="19"/>
  <c r="L118" i="17"/>
  <c r="L121" i="17" s="1"/>
  <c r="L20" i="20" s="1"/>
  <c r="K20" i="20"/>
  <c r="L20" i="19"/>
  <c r="L7" i="21"/>
  <c r="L7" i="19"/>
  <c r="L7" i="20"/>
  <c r="N114" i="17"/>
  <c r="N222" i="17" s="1"/>
  <c r="N32" i="17"/>
  <c r="N41" i="17"/>
  <c r="N43" i="17" s="1"/>
  <c r="N45" i="17" s="1"/>
  <c r="N58" i="17" s="1"/>
  <c r="J37" i="20"/>
  <c r="K234" i="17"/>
  <c r="L226" i="17"/>
  <c r="L228" i="17" s="1"/>
  <c r="M222" i="17"/>
  <c r="M120" i="17"/>
  <c r="N218" i="17"/>
  <c r="N227" i="17" s="1"/>
  <c r="K235" i="17"/>
  <c r="K282" i="17"/>
  <c r="L7" i="15"/>
  <c r="L7" i="17"/>
  <c r="L5" i="6"/>
  <c r="M6" i="6"/>
  <c r="M6" i="24" l="1"/>
  <c r="M6" i="25"/>
  <c r="L5" i="24"/>
  <c r="L5" i="25"/>
  <c r="M6" i="23"/>
  <c r="L5" i="23"/>
  <c r="L45" i="21"/>
  <c r="M15" i="19"/>
  <c r="N14" i="19"/>
  <c r="N13" i="19"/>
  <c r="L69" i="17"/>
  <c r="L74" i="17" s="1"/>
  <c r="L87" i="17" s="1"/>
  <c r="L17" i="19" s="1"/>
  <c r="L18" i="19" s="1"/>
  <c r="L21" i="19" s="1"/>
  <c r="M20" i="19"/>
  <c r="M118" i="17"/>
  <c r="M121" i="17" s="1"/>
  <c r="M20" i="20" s="1"/>
  <c r="M6" i="19"/>
  <c r="M6" i="20"/>
  <c r="M6" i="21"/>
  <c r="L5" i="21"/>
  <c r="L5" i="19"/>
  <c r="L5" i="20"/>
  <c r="N120" i="17"/>
  <c r="K236" i="17"/>
  <c r="K36" i="20" s="1"/>
  <c r="I218" i="17"/>
  <c r="N226" i="17"/>
  <c r="N228" i="17" s="1"/>
  <c r="M226" i="17"/>
  <c r="M228" i="17" s="1"/>
  <c r="I222" i="17"/>
  <c r="M6" i="15"/>
  <c r="M6" i="17"/>
  <c r="L232" i="17"/>
  <c r="L241" i="17"/>
  <c r="L5" i="15"/>
  <c r="L5" i="17"/>
  <c r="M7" i="6"/>
  <c r="M7" i="25" s="1"/>
  <c r="M8" i="25" s="1"/>
  <c r="I37" i="4"/>
  <c r="M9" i="25" l="1"/>
  <c r="M10" i="25" s="1"/>
  <c r="M11" i="25" s="1"/>
  <c r="M34" i="25" s="1"/>
  <c r="M7" i="23"/>
  <c r="M7" i="24"/>
  <c r="M45" i="21"/>
  <c r="D13" i="16"/>
  <c r="N15" i="19"/>
  <c r="N20" i="19"/>
  <c r="L234" i="17"/>
  <c r="M7" i="20"/>
  <c r="M7" i="19"/>
  <c r="M7" i="21"/>
  <c r="K37" i="20"/>
  <c r="M232" i="17"/>
  <c r="M241" i="17"/>
  <c r="L282" i="17"/>
  <c r="L235" i="17"/>
  <c r="N232" i="17"/>
  <c r="N241" i="17"/>
  <c r="N118" i="17"/>
  <c r="N121" i="17" s="1"/>
  <c r="N20" i="20" s="1"/>
  <c r="M7" i="15"/>
  <c r="M7" i="17"/>
  <c r="N6" i="6"/>
  <c r="M5" i="6"/>
  <c r="E21" i="5"/>
  <c r="B6" i="5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A2" i="21"/>
  <c r="B6" i="2"/>
  <c r="M5" i="24" l="1"/>
  <c r="M5" i="25"/>
  <c r="N6" i="24"/>
  <c r="N6" i="25"/>
  <c r="N8" i="25" s="1"/>
  <c r="N9" i="25" s="1"/>
  <c r="N10" i="25" s="1"/>
  <c r="N11" i="25" s="1"/>
  <c r="N34" i="25" s="1"/>
  <c r="M5" i="23"/>
  <c r="N6" i="23"/>
  <c r="N45" i="21"/>
  <c r="M69" i="17"/>
  <c r="M74" i="17" s="1"/>
  <c r="M87" i="17" s="1"/>
  <c r="M17" i="19" s="1"/>
  <c r="M18" i="19" s="1"/>
  <c r="M21" i="19" s="1"/>
  <c r="L236" i="17"/>
  <c r="L36" i="20" s="1"/>
  <c r="N6" i="21"/>
  <c r="N6" i="20"/>
  <c r="N6" i="19"/>
  <c r="M5" i="20"/>
  <c r="M5" i="21"/>
  <c r="M5" i="19"/>
  <c r="M5" i="15"/>
  <c r="M5" i="17"/>
  <c r="N6" i="15"/>
  <c r="N6" i="17"/>
  <c r="N282" i="17"/>
  <c r="N235" i="17"/>
  <c r="M282" i="17"/>
  <c r="M235" i="17"/>
  <c r="N7" i="6"/>
  <c r="A2" i="19"/>
  <c r="A2" i="20"/>
  <c r="A2" i="17"/>
  <c r="A2" i="18"/>
  <c r="B16" i="2"/>
  <c r="B35" i="2" s="1"/>
  <c r="A2" i="15"/>
  <c r="A2" i="16"/>
  <c r="A2" i="9"/>
  <c r="A2" i="6"/>
  <c r="A2" i="2"/>
  <c r="A2" i="5"/>
  <c r="B56" i="4"/>
  <c r="A2" i="4"/>
  <c r="A2" i="3"/>
  <c r="C6" i="1"/>
  <c r="J8" i="6"/>
  <c r="K8" i="6"/>
  <c r="L8" i="6"/>
  <c r="M8" i="6"/>
  <c r="M8" i="24" l="1"/>
  <c r="L8" i="24"/>
  <c r="K8" i="24"/>
  <c r="J8" i="24"/>
  <c r="N7" i="23"/>
  <c r="N7" i="24"/>
  <c r="L8" i="23"/>
  <c r="K8" i="23"/>
  <c r="J8" i="23"/>
  <c r="M8" i="23"/>
  <c r="D14" i="16"/>
  <c r="M234" i="17"/>
  <c r="M236" i="17" s="1"/>
  <c r="M36" i="20" s="1"/>
  <c r="L37" i="20"/>
  <c r="L8" i="19"/>
  <c r="L8" i="21"/>
  <c r="L8" i="20"/>
  <c r="M8" i="21"/>
  <c r="M8" i="19"/>
  <c r="M8" i="20"/>
  <c r="K8" i="20"/>
  <c r="K8" i="21"/>
  <c r="K8" i="19"/>
  <c r="J8" i="19"/>
  <c r="J8" i="21"/>
  <c r="J8" i="20"/>
  <c r="N7" i="20"/>
  <c r="N7" i="19"/>
  <c r="N7" i="21"/>
  <c r="K8" i="15"/>
  <c r="K8" i="17"/>
  <c r="K51" i="17" s="1"/>
  <c r="K53" i="17" s="1"/>
  <c r="K60" i="17" s="1"/>
  <c r="N7" i="15"/>
  <c r="N7" i="17"/>
  <c r="M8" i="15"/>
  <c r="M8" i="17"/>
  <c r="M51" i="17" s="1"/>
  <c r="M53" i="17" s="1"/>
  <c r="M60" i="17" s="1"/>
  <c r="J8" i="15"/>
  <c r="J8" i="17"/>
  <c r="J51" i="17" s="1"/>
  <c r="J53" i="17" s="1"/>
  <c r="J60" i="17" s="1"/>
  <c r="L8" i="15"/>
  <c r="L8" i="17"/>
  <c r="L51" i="17" s="1"/>
  <c r="L53" i="17" s="1"/>
  <c r="L60" i="17" s="1"/>
  <c r="N8" i="6"/>
  <c r="N5" i="6"/>
  <c r="N5" i="24" l="1"/>
  <c r="N5" i="25"/>
  <c r="N8" i="24"/>
  <c r="N5" i="23"/>
  <c r="N8" i="23"/>
  <c r="N57" i="17"/>
  <c r="N69" i="17"/>
  <c r="N74" i="17" s="1"/>
  <c r="N87" i="17" s="1"/>
  <c r="N17" i="19" s="1"/>
  <c r="N18" i="19" s="1"/>
  <c r="N21" i="19" s="1"/>
  <c r="L57" i="17"/>
  <c r="L59" i="17" s="1"/>
  <c r="L20" i="25" s="1"/>
  <c r="M57" i="17"/>
  <c r="M59" i="17" s="1"/>
  <c r="M20" i="25" s="1"/>
  <c r="J59" i="17"/>
  <c r="J20" i="25" s="1"/>
  <c r="K57" i="17"/>
  <c r="K59" i="17" s="1"/>
  <c r="K20" i="25" s="1"/>
  <c r="N234" i="17"/>
  <c r="N236" i="17" s="1"/>
  <c r="N36" i="20" s="1"/>
  <c r="N5" i="20"/>
  <c r="N5" i="21"/>
  <c r="N5" i="19"/>
  <c r="N8" i="21"/>
  <c r="N8" i="19"/>
  <c r="N8" i="20"/>
  <c r="M37" i="20"/>
  <c r="N8" i="15"/>
  <c r="N8" i="17"/>
  <c r="N51" i="17" s="1"/>
  <c r="N53" i="17" s="1"/>
  <c r="N60" i="17" s="1"/>
  <c r="K146" i="17"/>
  <c r="K148" i="17" s="1"/>
  <c r="K150" i="17" s="1"/>
  <c r="K155" i="17" s="1"/>
  <c r="K25" i="17"/>
  <c r="K27" i="17" s="1"/>
  <c r="K34" i="17" s="1"/>
  <c r="K15" i="20" s="1"/>
  <c r="K80" i="17"/>
  <c r="K82" i="17" s="1"/>
  <c r="K89" i="17" s="1"/>
  <c r="K27" i="20" s="1"/>
  <c r="N5" i="15"/>
  <c r="N5" i="17"/>
  <c r="L146" i="17"/>
  <c r="L148" i="17" s="1"/>
  <c r="L150" i="17" s="1"/>
  <c r="L155" i="17" s="1"/>
  <c r="L25" i="17"/>
  <c r="L27" i="17" s="1"/>
  <c r="L34" i="17" s="1"/>
  <c r="L15" i="20" s="1"/>
  <c r="L80" i="17"/>
  <c r="L82" i="17" s="1"/>
  <c r="L89" i="17" s="1"/>
  <c r="L27" i="20" s="1"/>
  <c r="J146" i="17"/>
  <c r="J148" i="17" s="1"/>
  <c r="J150" i="17" s="1"/>
  <c r="J155" i="17" s="1"/>
  <c r="J25" i="17"/>
  <c r="J27" i="17" s="1"/>
  <c r="J34" i="17" s="1"/>
  <c r="J15" i="20" s="1"/>
  <c r="J80" i="17"/>
  <c r="J82" i="17" s="1"/>
  <c r="J89" i="17" s="1"/>
  <c r="J27" i="20" s="1"/>
  <c r="M146" i="17"/>
  <c r="M148" i="17" s="1"/>
  <c r="M150" i="17" s="1"/>
  <c r="M155" i="17" s="1"/>
  <c r="M80" i="17"/>
  <c r="M82" i="17" s="1"/>
  <c r="M89" i="17" s="1"/>
  <c r="M27" i="20" s="1"/>
  <c r="M25" i="17"/>
  <c r="M27" i="17" s="1"/>
  <c r="M34" i="17" s="1"/>
  <c r="M15" i="20" s="1"/>
  <c r="J17" i="24" l="1"/>
  <c r="M17" i="24"/>
  <c r="L17" i="24"/>
  <c r="K17" i="24"/>
  <c r="M17" i="23"/>
  <c r="L17" i="23"/>
  <c r="K17" i="23"/>
  <c r="J17" i="23"/>
  <c r="K17" i="21"/>
  <c r="J17" i="21"/>
  <c r="M17" i="21"/>
  <c r="L17" i="21"/>
  <c r="N59" i="17"/>
  <c r="N20" i="25" s="1"/>
  <c r="N37" i="20"/>
  <c r="K86" i="17"/>
  <c r="K88" i="17" s="1"/>
  <c r="J88" i="17"/>
  <c r="K31" i="17"/>
  <c r="K33" i="17" s="1"/>
  <c r="K19" i="25" s="1"/>
  <c r="J33" i="17"/>
  <c r="J19" i="25" s="1"/>
  <c r="L86" i="17"/>
  <c r="L88" i="17" s="1"/>
  <c r="J157" i="17"/>
  <c r="L31" i="17"/>
  <c r="L33" i="17" s="1"/>
  <c r="L19" i="25" s="1"/>
  <c r="N31" i="17"/>
  <c r="M86" i="17"/>
  <c r="M88" i="17" s="1"/>
  <c r="N86" i="17"/>
  <c r="M31" i="17"/>
  <c r="M33" i="17" s="1"/>
  <c r="M19" i="25" s="1"/>
  <c r="N146" i="17"/>
  <c r="N148" i="17" s="1"/>
  <c r="N150" i="17" s="1"/>
  <c r="N155" i="17" s="1"/>
  <c r="N80" i="17"/>
  <c r="N82" i="17" s="1"/>
  <c r="N89" i="17" s="1"/>
  <c r="N27" i="20" s="1"/>
  <c r="N25" i="17"/>
  <c r="N27" i="17" s="1"/>
  <c r="N34" i="17" s="1"/>
  <c r="N15" i="20" s="1"/>
  <c r="K18" i="24" l="1"/>
  <c r="K19" i="24" s="1"/>
  <c r="K21" i="25"/>
  <c r="K22" i="25" s="1"/>
  <c r="L21" i="25"/>
  <c r="L22" i="25" s="1"/>
  <c r="M18" i="24"/>
  <c r="M19" i="24" s="1"/>
  <c r="M21" i="25"/>
  <c r="M22" i="25" s="1"/>
  <c r="J18" i="24"/>
  <c r="J19" i="24" s="1"/>
  <c r="J21" i="25"/>
  <c r="J22" i="25" s="1"/>
  <c r="J24" i="25" s="1"/>
  <c r="J30" i="25" s="1"/>
  <c r="J16" i="24"/>
  <c r="L16" i="24"/>
  <c r="K16" i="24"/>
  <c r="L18" i="24"/>
  <c r="L19" i="24" s="1"/>
  <c r="N17" i="24"/>
  <c r="M16" i="24"/>
  <c r="J49" i="21"/>
  <c r="J16" i="23"/>
  <c r="K49" i="21"/>
  <c r="K16" i="23"/>
  <c r="L18" i="21"/>
  <c r="L19" i="21" s="1"/>
  <c r="L18" i="23"/>
  <c r="L19" i="23" s="1"/>
  <c r="N17" i="23"/>
  <c r="M18" i="21"/>
  <c r="M19" i="21" s="1"/>
  <c r="M18" i="23"/>
  <c r="M19" i="23" s="1"/>
  <c r="L49" i="21"/>
  <c r="L16" i="23"/>
  <c r="J18" i="21"/>
  <c r="J19" i="21" s="1"/>
  <c r="J18" i="23"/>
  <c r="J19" i="23" s="1"/>
  <c r="K18" i="21"/>
  <c r="K18" i="23"/>
  <c r="K19" i="23" s="1"/>
  <c r="M49" i="21"/>
  <c r="M16" i="23"/>
  <c r="L50" i="21"/>
  <c r="J50" i="21"/>
  <c r="M50" i="21"/>
  <c r="K50" i="21"/>
  <c r="K16" i="21"/>
  <c r="K19" i="21"/>
  <c r="N17" i="21"/>
  <c r="L16" i="21"/>
  <c r="M16" i="21"/>
  <c r="J16" i="21"/>
  <c r="N88" i="17"/>
  <c r="K154" i="17"/>
  <c r="K156" i="17" s="1"/>
  <c r="K20" i="24" s="1"/>
  <c r="N33" i="17"/>
  <c r="N19" i="25" s="1"/>
  <c r="J36" i="25" l="1"/>
  <c r="N18" i="24"/>
  <c r="N19" i="24" s="1"/>
  <c r="N21" i="25"/>
  <c r="N22" i="25" s="1"/>
  <c r="J22" i="24"/>
  <c r="J33" i="24" s="1"/>
  <c r="N16" i="24"/>
  <c r="N50" i="21"/>
  <c r="K20" i="21"/>
  <c r="K52" i="21" s="1"/>
  <c r="N18" i="21"/>
  <c r="N19" i="21" s="1"/>
  <c r="N18" i="23"/>
  <c r="N19" i="23" s="1"/>
  <c r="J21" i="23"/>
  <c r="J27" i="23" s="1"/>
  <c r="J33" i="23" s="1"/>
  <c r="N49" i="21"/>
  <c r="N16" i="23"/>
  <c r="N16" i="21"/>
  <c r="J22" i="21"/>
  <c r="J37" i="21" l="1"/>
  <c r="J14" i="20" s="1"/>
  <c r="J309" i="17"/>
  <c r="J167" i="17"/>
  <c r="J170" i="17" s="1"/>
  <c r="J175" i="17" s="1"/>
  <c r="K157" i="17"/>
  <c r="J17" i="20" l="1"/>
  <c r="J177" i="17"/>
  <c r="J23" i="19"/>
  <c r="K166" i="17"/>
  <c r="L154" i="17"/>
  <c r="L156" i="17" s="1"/>
  <c r="L20" i="24" s="1"/>
  <c r="L20" i="21" l="1"/>
  <c r="L52" i="21" s="1"/>
  <c r="J24" i="19"/>
  <c r="J46" i="21"/>
  <c r="K174" i="17"/>
  <c r="K176" i="17" s="1"/>
  <c r="J28" i="20"/>
  <c r="K25" i="23" l="1"/>
  <c r="K26" i="24"/>
  <c r="J189" i="17"/>
  <c r="J192" i="17" s="1"/>
  <c r="J240" i="17" s="1"/>
  <c r="J242" i="17" s="1"/>
  <c r="J263" i="17" s="1"/>
  <c r="J243" i="17" s="1"/>
  <c r="J244" i="17" s="1"/>
  <c r="J246" i="17" s="1"/>
  <c r="J251" i="17" s="1"/>
  <c r="K25" i="21"/>
  <c r="K27" i="21" s="1"/>
  <c r="L157" i="17"/>
  <c r="J262" i="17" l="1"/>
  <c r="J266" i="17" s="1"/>
  <c r="J270" i="17" s="1"/>
  <c r="J196" i="17"/>
  <c r="J279" i="17" s="1"/>
  <c r="J26" i="19" s="1"/>
  <c r="K252" i="17"/>
  <c r="K280" i="17" s="1"/>
  <c r="J253" i="17"/>
  <c r="K250" i="17" s="1"/>
  <c r="M154" i="17"/>
  <c r="M156" i="17" s="1"/>
  <c r="M20" i="24" s="1"/>
  <c r="K21" i="24" l="1"/>
  <c r="K23" i="25"/>
  <c r="K24" i="25" s="1"/>
  <c r="K30" i="25" s="1"/>
  <c r="K21" i="21"/>
  <c r="K53" i="21" s="1"/>
  <c r="K20" i="23"/>
  <c r="J47" i="21"/>
  <c r="M20" i="21"/>
  <c r="M52" i="21" s="1"/>
  <c r="J264" i="17"/>
  <c r="K261" i="17" s="1"/>
  <c r="J27" i="19"/>
  <c r="J273" i="17"/>
  <c r="J274" i="17" s="1"/>
  <c r="J21" i="20" s="1"/>
  <c r="J281" i="17"/>
  <c r="J283" i="17" s="1"/>
  <c r="J30" i="20" s="1"/>
  <c r="M157" i="17"/>
  <c r="K22" i="24" l="1"/>
  <c r="K36" i="25"/>
  <c r="J47" i="20"/>
  <c r="K22" i="21"/>
  <c r="K309" i="17" s="1"/>
  <c r="K21" i="23"/>
  <c r="K27" i="23" s="1"/>
  <c r="K33" i="23" s="1"/>
  <c r="J43" i="21"/>
  <c r="J54" i="21" s="1"/>
  <c r="J57" i="21" s="1"/>
  <c r="J58" i="21" s="1"/>
  <c r="J308" i="17"/>
  <c r="J313" i="17" s="1"/>
  <c r="K278" i="17"/>
  <c r="K272" i="17"/>
  <c r="J22" i="20"/>
  <c r="J24" i="20" s="1"/>
  <c r="N154" i="17"/>
  <c r="J311" i="17" l="1"/>
  <c r="J315" i="17" s="1"/>
  <c r="J320" i="17" s="1"/>
  <c r="J48" i="20" s="1"/>
  <c r="J49" i="20" s="1"/>
  <c r="N156" i="17"/>
  <c r="N20" i="24" l="1"/>
  <c r="J322" i="17"/>
  <c r="J29" i="20" s="1"/>
  <c r="J32" i="20" s="1"/>
  <c r="J39" i="20" s="1"/>
  <c r="J41" i="20" s="1"/>
  <c r="K46" i="20"/>
  <c r="J50" i="20"/>
  <c r="N157" i="17"/>
  <c r="N20" i="21"/>
  <c r="N52" i="21" s="1"/>
  <c r="K319" i="17" l="1"/>
  <c r="K321" i="17" s="1"/>
  <c r="K31" i="24" s="1"/>
  <c r="K33" i="24" s="1"/>
  <c r="K307" i="17"/>
  <c r="J55" i="20"/>
  <c r="J56" i="20" s="1"/>
  <c r="J57" i="20" s="1"/>
  <c r="K34" i="21" l="1"/>
  <c r="K35" i="21" s="1"/>
  <c r="K37" i="21" s="1"/>
  <c r="K14" i="20" s="1"/>
  <c r="L166" i="17" s="1"/>
  <c r="K17" i="20" l="1"/>
  <c r="K167" i="17"/>
  <c r="K170" i="17" s="1"/>
  <c r="K175" i="17" s="1"/>
  <c r="K177" i="17" s="1"/>
  <c r="K28" i="20" s="1"/>
  <c r="L25" i="23"/>
  <c r="L174" i="17" l="1"/>
  <c r="L176" i="17" s="1"/>
  <c r="L26" i="24" s="1"/>
  <c r="K23" i="19"/>
  <c r="L25" i="21" l="1"/>
  <c r="L27" i="21" s="1"/>
  <c r="K24" i="19"/>
  <c r="K189" i="17" s="1"/>
  <c r="K192" i="17" s="1"/>
  <c r="K240" i="17" s="1"/>
  <c r="K242" i="17" s="1"/>
  <c r="K263" i="17" s="1"/>
  <c r="K243" i="17" s="1"/>
  <c r="K244" i="17" s="1"/>
  <c r="K246" i="17" s="1"/>
  <c r="K251" i="17" s="1"/>
  <c r="L252" i="17" s="1"/>
  <c r="L280" i="17" s="1"/>
  <c r="L21" i="21" s="1"/>
  <c r="K46" i="21"/>
  <c r="K196" i="17" l="1"/>
  <c r="K279" i="17" s="1"/>
  <c r="K26" i="19" s="1"/>
  <c r="K262" i="17"/>
  <c r="K266" i="17" s="1"/>
  <c r="K270" i="17" s="1"/>
  <c r="K253" i="17"/>
  <c r="L250" i="17" s="1"/>
  <c r="L53" i="21"/>
  <c r="L22" i="21"/>
  <c r="L309" i="17" s="1"/>
  <c r="L20" i="23"/>
  <c r="L21" i="23" s="1"/>
  <c r="L27" i="23" s="1"/>
  <c r="L33" i="23" s="1"/>
  <c r="L23" i="25"/>
  <c r="L24" i="25" s="1"/>
  <c r="L30" i="25" s="1"/>
  <c r="L21" i="24"/>
  <c r="K281" i="17" l="1"/>
  <c r="K283" i="17" s="1"/>
  <c r="K273" i="17"/>
  <c r="K274" i="17" s="1"/>
  <c r="L272" i="17" s="1"/>
  <c r="K27" i="19"/>
  <c r="K308" i="17" s="1"/>
  <c r="K264" i="17"/>
  <c r="L261" i="17" s="1"/>
  <c r="K47" i="21"/>
  <c r="L36" i="25"/>
  <c r="L22" i="24"/>
  <c r="K21" i="20" l="1"/>
  <c r="K22" i="20" s="1"/>
  <c r="K24" i="20" s="1"/>
  <c r="K47" i="20"/>
  <c r="L278" i="17"/>
  <c r="K30" i="20"/>
  <c r="K43" i="21"/>
  <c r="K54" i="21" s="1"/>
  <c r="K57" i="21" s="1"/>
  <c r="K58" i="21" s="1"/>
  <c r="K311" i="17"/>
  <c r="K313" i="17"/>
  <c r="K315" i="17" l="1"/>
  <c r="K320" i="17" s="1"/>
  <c r="K322" i="17" s="1"/>
  <c r="K48" i="20" l="1"/>
  <c r="K49" i="20" s="1"/>
  <c r="K50" i="20" s="1"/>
  <c r="L319" i="17"/>
  <c r="L321" i="17" s="1"/>
  <c r="L31" i="24" s="1"/>
  <c r="L33" i="24" s="1"/>
  <c r="K29" i="20"/>
  <c r="K32" i="20" s="1"/>
  <c r="K39" i="20" s="1"/>
  <c r="K41" i="20" s="1"/>
  <c r="K55" i="20" l="1"/>
  <c r="K56" i="20" s="1"/>
  <c r="K57" i="20" s="1"/>
  <c r="L46" i="20"/>
  <c r="L34" i="21"/>
  <c r="L35" i="21" s="1"/>
  <c r="L307" i="17" l="1"/>
  <c r="L167" i="17"/>
  <c r="L170" i="17" s="1"/>
  <c r="L175" i="17" s="1"/>
  <c r="L37" i="21"/>
  <c r="L14" i="20" s="1"/>
  <c r="L17" i="20" l="1"/>
  <c r="M166" i="17"/>
  <c r="L177" i="17"/>
  <c r="L23" i="19"/>
  <c r="M174" i="17" l="1"/>
  <c r="M176" i="17" s="1"/>
  <c r="M26" i="24" s="1"/>
  <c r="L28" i="20"/>
  <c r="L46" i="21"/>
  <c r="L24" i="19"/>
  <c r="L189" i="17" s="1"/>
  <c r="L192" i="17" s="1"/>
  <c r="L196" i="17" l="1"/>
  <c r="L279" i="17" s="1"/>
  <c r="L26" i="19" s="1"/>
  <c r="L240" i="17"/>
  <c r="L242" i="17" s="1"/>
  <c r="M25" i="21"/>
  <c r="M27" i="21" s="1"/>
  <c r="M25" i="23"/>
  <c r="L262" i="17" l="1"/>
  <c r="L263" i="17"/>
  <c r="L243" i="17" s="1"/>
  <c r="L244" i="17" s="1"/>
  <c r="L246" i="17" s="1"/>
  <c r="L251" i="17" s="1"/>
  <c r="L27" i="19"/>
  <c r="L47" i="21"/>
  <c r="L253" i="17" l="1"/>
  <c r="M250" i="17" s="1"/>
  <c r="M252" i="17"/>
  <c r="M280" i="17" s="1"/>
  <c r="L43" i="21"/>
  <c r="L54" i="21" s="1"/>
  <c r="L57" i="21" s="1"/>
  <c r="L58" i="21" s="1"/>
  <c r="L308" i="17"/>
  <c r="L47" i="20"/>
  <c r="L266" i="17"/>
  <c r="L270" i="17" s="1"/>
  <c r="L264" i="17"/>
  <c r="M261" i="17" s="1"/>
  <c r="M21" i="24" l="1"/>
  <c r="M23" i="25"/>
  <c r="M24" i="25" s="1"/>
  <c r="M30" i="25" s="1"/>
  <c r="L311" i="17"/>
  <c r="L313" i="17"/>
  <c r="L273" i="17"/>
  <c r="L274" i="17" s="1"/>
  <c r="L281" i="17"/>
  <c r="L283" i="17" s="1"/>
  <c r="M21" i="21"/>
  <c r="M20" i="23"/>
  <c r="M36" i="25" l="1"/>
  <c r="M22" i="24"/>
  <c r="L315" i="17"/>
  <c r="L320" i="17" s="1"/>
  <c r="L322" i="17" s="1"/>
  <c r="L30" i="20"/>
  <c r="M278" i="17"/>
  <c r="M272" i="17"/>
  <c r="L21" i="20"/>
  <c r="L22" i="20" s="1"/>
  <c r="L24" i="20" s="1"/>
  <c r="M53" i="21"/>
  <c r="M22" i="21"/>
  <c r="M21" i="23"/>
  <c r="M27" i="23" s="1"/>
  <c r="M33" i="23" s="1"/>
  <c r="L48" i="20" l="1"/>
  <c r="L49" i="20" s="1"/>
  <c r="M46" i="20" s="1"/>
  <c r="M319" i="17"/>
  <c r="M321" i="17" s="1"/>
  <c r="M31" i="24" s="1"/>
  <c r="M33" i="24" s="1"/>
  <c r="L29" i="20"/>
  <c r="L32" i="20" s="1"/>
  <c r="L39" i="20" s="1"/>
  <c r="L41" i="20" s="1"/>
  <c r="M309" i="17"/>
  <c r="L50" i="20" l="1"/>
  <c r="L55" i="20" s="1"/>
  <c r="L56" i="20" s="1"/>
  <c r="L57" i="20" s="1"/>
  <c r="M307" i="17"/>
  <c r="M34" i="21"/>
  <c r="M35" i="21" s="1"/>
  <c r="M167" i="17" l="1"/>
  <c r="M170" i="17" s="1"/>
  <c r="M175" i="17" s="1"/>
  <c r="M37" i="21"/>
  <c r="M14" i="20" s="1"/>
  <c r="M177" i="17" l="1"/>
  <c r="M23" i="19"/>
  <c r="N166" i="17"/>
  <c r="M17" i="20"/>
  <c r="M46" i="21" l="1"/>
  <c r="M24" i="19"/>
  <c r="M28" i="20"/>
  <c r="N174" i="17"/>
  <c r="N176" i="17" s="1"/>
  <c r="N26" i="24" s="1"/>
  <c r="M189" i="17" l="1"/>
  <c r="M192" i="17" s="1"/>
  <c r="N25" i="21"/>
  <c r="N27" i="21" s="1"/>
  <c r="N25" i="23"/>
  <c r="M196" i="17" l="1"/>
  <c r="M279" i="17" s="1"/>
  <c r="M26" i="19" s="1"/>
  <c r="M240" i="17"/>
  <c r="M242" i="17" s="1"/>
  <c r="M263" i="17" l="1"/>
  <c r="M243" i="17" s="1"/>
  <c r="M244" i="17" s="1"/>
  <c r="M246" i="17" s="1"/>
  <c r="M251" i="17" s="1"/>
  <c r="M262" i="17"/>
  <c r="M47" i="21"/>
  <c r="M27" i="19"/>
  <c r="M43" i="21" l="1"/>
  <c r="M54" i="21" s="1"/>
  <c r="M57" i="21" s="1"/>
  <c r="M47" i="20"/>
  <c r="M308" i="17"/>
  <c r="M266" i="17"/>
  <c r="M270" i="17" s="1"/>
  <c r="M264" i="17"/>
  <c r="N261" i="17" s="1"/>
  <c r="M253" i="17"/>
  <c r="N250" i="17" s="1"/>
  <c r="N252" i="17"/>
  <c r="N280" i="17" s="1"/>
  <c r="N21" i="24" l="1"/>
  <c r="N23" i="25"/>
  <c r="N24" i="25" s="1"/>
  <c r="N30" i="25" s="1"/>
  <c r="M313" i="17"/>
  <c r="M311" i="17"/>
  <c r="M273" i="17"/>
  <c r="M274" i="17" s="1"/>
  <c r="M281" i="17"/>
  <c r="M283" i="17" s="1"/>
  <c r="N21" i="21"/>
  <c r="N20" i="23"/>
  <c r="M58" i="21"/>
  <c r="N22" i="24" l="1"/>
  <c r="N36" i="25"/>
  <c r="I38" i="25" s="1"/>
  <c r="M315" i="17"/>
  <c r="M320" i="17" s="1"/>
  <c r="M48" i="20" s="1"/>
  <c r="M49" i="20" s="1"/>
  <c r="N22" i="21"/>
  <c r="N53" i="21"/>
  <c r="N21" i="23"/>
  <c r="N27" i="23" s="1"/>
  <c r="N33" i="23" s="1"/>
  <c r="I35" i="23" s="1"/>
  <c r="N278" i="17"/>
  <c r="M30" i="20"/>
  <c r="M21" i="20"/>
  <c r="M22" i="20" s="1"/>
  <c r="M24" i="20" s="1"/>
  <c r="N272" i="17"/>
  <c r="M322" i="17" l="1"/>
  <c r="N319" i="17" s="1"/>
  <c r="N321" i="17" s="1"/>
  <c r="N31" i="24" s="1"/>
  <c r="N33" i="24" s="1"/>
  <c r="M50" i="20"/>
  <c r="N46" i="20"/>
  <c r="N309" i="17"/>
  <c r="M29" i="20" l="1"/>
  <c r="M32" i="20" s="1"/>
  <c r="M39" i="20" s="1"/>
  <c r="M41" i="20" s="1"/>
  <c r="M55" i="20" s="1"/>
  <c r="M56" i="20" s="1"/>
  <c r="M57" i="20" s="1"/>
  <c r="N307" i="17"/>
  <c r="N34" i="21"/>
  <c r="N35" i="21" s="1"/>
  <c r="N167" i="17" l="1"/>
  <c r="N170" i="17" s="1"/>
  <c r="N175" i="17" s="1"/>
  <c r="N37" i="21"/>
  <c r="N14" i="20" s="1"/>
  <c r="N17" i="20" s="1"/>
  <c r="N177" i="17" l="1"/>
  <c r="N28" i="20" s="1"/>
  <c r="N23" i="19"/>
  <c r="N24" i="19" l="1"/>
  <c r="N189" i="17" s="1"/>
  <c r="N192" i="17" s="1"/>
  <c r="N46" i="21"/>
  <c r="N196" i="17" l="1"/>
  <c r="N279" i="17" s="1"/>
  <c r="N26" i="19" s="1"/>
  <c r="N240" i="17"/>
  <c r="N242" i="17" s="1"/>
  <c r="N263" i="17" l="1"/>
  <c r="N243" i="17" s="1"/>
  <c r="N244" i="17" s="1"/>
  <c r="N246" i="17" s="1"/>
  <c r="N251" i="17" s="1"/>
  <c r="N253" i="17" s="1"/>
  <c r="N262" i="17"/>
  <c r="N27" i="19"/>
  <c r="N47" i="21"/>
  <c r="N43" i="21" l="1"/>
  <c r="N54" i="21" s="1"/>
  <c r="N57" i="21" s="1"/>
  <c r="N308" i="17"/>
  <c r="N47" i="20"/>
  <c r="N266" i="17"/>
  <c r="N270" i="17" s="1"/>
  <c r="N264" i="17"/>
  <c r="N273" i="17" l="1"/>
  <c r="N274" i="17" s="1"/>
  <c r="N21" i="20" s="1"/>
  <c r="N22" i="20" s="1"/>
  <c r="N24" i="20" s="1"/>
  <c r="N281" i="17"/>
  <c r="N283" i="17" s="1"/>
  <c r="N30" i="20" s="1"/>
  <c r="N313" i="17"/>
  <c r="N311" i="17"/>
  <c r="N58" i="21"/>
  <c r="I58" i="21" s="1"/>
  <c r="I19" i="5" s="1"/>
  <c r="I57" i="21"/>
  <c r="I18" i="5" s="1"/>
  <c r="N315" i="17" l="1"/>
  <c r="N320" i="17" s="1"/>
  <c r="N322" i="17" s="1"/>
  <c r="N29" i="20" s="1"/>
  <c r="N32" i="20" s="1"/>
  <c r="N39" i="20" s="1"/>
  <c r="N41" i="20" s="1"/>
  <c r="N48" i="20" l="1"/>
  <c r="N49" i="20" s="1"/>
  <c r="N50" i="20" s="1"/>
  <c r="N55" i="20" s="1"/>
  <c r="N56" i="20" l="1"/>
  <c r="I56" i="20" s="1"/>
  <c r="I16" i="5" s="1"/>
  <c r="I55" i="20"/>
  <c r="I15" i="5" s="1"/>
  <c r="N57" i="20" l="1"/>
  <c r="I57" i="20" s="1"/>
  <c r="I17" i="5" s="1"/>
  <c r="I21" i="5" s="1"/>
  <c r="G4" i="24" l="1"/>
  <c r="G4" i="25"/>
  <c r="G4" i="23"/>
  <c r="G4" i="18"/>
  <c r="F4" i="5"/>
  <c r="G4" i="19"/>
  <c r="I4" i="2"/>
  <c r="G4" i="20"/>
  <c r="G4" i="17"/>
  <c r="G4" i="3"/>
  <c r="G4" i="16"/>
  <c r="I4" i="4"/>
  <c r="F4" i="9"/>
  <c r="G4" i="21"/>
  <c r="F4" i="6"/>
  <c r="G4" i="15"/>
</calcChain>
</file>

<file path=xl/sharedStrings.xml><?xml version="1.0" encoding="utf-8"?>
<sst xmlns="http://schemas.openxmlformats.org/spreadsheetml/2006/main" count="531" uniqueCount="366">
  <si>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</si>
  <si>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</si>
  <si>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</si>
  <si>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</si>
  <si>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</si>
  <si>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</si>
  <si>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</si>
  <si>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</si>
  <si>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</si>
  <si>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</si>
  <si>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</si>
  <si>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</si>
  <si>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</si>
  <si>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</si>
  <si>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</si>
  <si>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</si>
  <si>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</si>
  <si>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</si>
  <si>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</si>
  <si>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</si>
  <si>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</si>
  <si>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</si>
  <si>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</si>
  <si>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</si>
  <si>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</si>
  <si>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</si>
  <si>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</si>
  <si>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</si>
  <si>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</si>
  <si>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</si>
  <si>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</si>
  <si>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</si>
  <si>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</si>
  <si>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</si>
  <si>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</si>
  <si>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</si>
  <si>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</si>
  <si>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</si>
  <si>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</si>
  <si>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</si>
  <si>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</si>
  <si>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</si>
  <si>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</si>
  <si>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</si>
  <si>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</si>
  <si>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</si>
  <si>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</si>
  <si>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</si>
  <si>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</si>
  <si>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</si>
  <si>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</si>
  <si>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</si>
  <si>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</si>
  <si>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</si>
  <si>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</si>
  <si>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</si>
  <si>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</si>
  <si>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</si>
  <si>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</si>
  <si>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</si>
  <si>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</si>
  <si>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</si>
  <si>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</si>
  <si>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</si>
  <si>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</si>
  <si>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</si>
  <si>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</si>
  <si>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</si>
  <si>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</si>
  <si>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</si>
  <si>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</si>
  <si>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</si>
  <si>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</si>
  <si>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</si>
  <si>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</si>
  <si>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</si>
  <si>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</si>
  <si>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</si>
  <si>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</si>
  <si>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</si>
  <si>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</si>
  <si>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</si>
  <si>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Change Log</t>
  </si>
  <si>
    <t xml:space="preserve">Model Version </t>
  </si>
  <si>
    <t>Details of change</t>
  </si>
  <si>
    <t>Worksheet Reference</t>
  </si>
  <si>
    <t>Row, column, cell reference</t>
  </si>
  <si>
    <t>Summary</t>
  </si>
  <si>
    <t>I changed it</t>
  </si>
  <si>
    <t>Author</t>
  </si>
  <si>
    <t>F11</t>
  </si>
  <si>
    <t>LB</t>
  </si>
  <si>
    <t>Untitled attachment 00059.xlsm</t>
  </si>
  <si>
    <t>So did I.</t>
  </si>
  <si>
    <t>And me.</t>
  </si>
  <si>
    <t>A4</t>
  </si>
  <si>
    <t>B9</t>
  </si>
  <si>
    <t>Dave</t>
  </si>
  <si>
    <t>Technical assumptions</t>
  </si>
  <si>
    <t>Model Information</t>
  </si>
  <si>
    <t>Boolean</t>
  </si>
  <si>
    <t>Percentage</t>
  </si>
  <si>
    <t>Year</t>
  </si>
  <si>
    <t>Multiplier</t>
  </si>
  <si>
    <t>A$'000</t>
  </si>
  <si>
    <t>[1,0]</t>
  </si>
  <si>
    <t>%</t>
  </si>
  <si>
    <t># Days</t>
  </si>
  <si>
    <t># Year(s)</t>
  </si>
  <si>
    <t>x</t>
  </si>
  <si>
    <t>IS</t>
  </si>
  <si>
    <t>BS</t>
  </si>
  <si>
    <t>CFS</t>
  </si>
  <si>
    <t>Revenue</t>
  </si>
  <si>
    <t>COGS</t>
  </si>
  <si>
    <t>Amounts</t>
  </si>
  <si>
    <t>Debt</t>
  </si>
  <si>
    <t xml:space="preserve">Interest </t>
  </si>
  <si>
    <t xml:space="preserve">Taxation </t>
  </si>
  <si>
    <t>DTA</t>
  </si>
  <si>
    <t>DTL</t>
  </si>
  <si>
    <t>Dividends</t>
  </si>
  <si>
    <t>Year Lookups</t>
  </si>
  <si>
    <t>Actuals Throughout</t>
  </si>
  <si>
    <t>LU_Future_Years</t>
  </si>
  <si>
    <t>Calculations</t>
  </si>
  <si>
    <t xml:space="preserve">Revenue and Related </t>
  </si>
  <si>
    <t xml:space="preserve">Revenue </t>
  </si>
  <si>
    <t>Working Capital</t>
  </si>
  <si>
    <t>Opex</t>
  </si>
  <si>
    <t>Depreciation</t>
  </si>
  <si>
    <t>Taxation</t>
  </si>
  <si>
    <t>NPBT</t>
  </si>
  <si>
    <t>Movement in DTLs</t>
  </si>
  <si>
    <t>Opening DTLs</t>
  </si>
  <si>
    <t>Closing DTLs</t>
  </si>
  <si>
    <t>Movement in DTAs</t>
  </si>
  <si>
    <t>Opening DTAs</t>
  </si>
  <si>
    <t>Closing DTAs</t>
  </si>
  <si>
    <t>NPAT</t>
  </si>
  <si>
    <t>Increase in Other Current Assets</t>
  </si>
  <si>
    <t>Decrease in Other Current Assets</t>
  </si>
  <si>
    <t>Closing Other Current Assets</t>
  </si>
  <si>
    <t>Opening Other Current Assets</t>
  </si>
  <si>
    <t xml:space="preserve">Other Current Liabilities </t>
  </si>
  <si>
    <t>Control Account</t>
  </si>
  <si>
    <t xml:space="preserve">Opening Other Current Liabilities </t>
  </si>
  <si>
    <t xml:space="preserve">Increase in Other Current Liabilities </t>
  </si>
  <si>
    <t xml:space="preserve">Decrease in Other Current Liabilities </t>
  </si>
  <si>
    <t xml:space="preserve">Closing Other Current Liabilities </t>
  </si>
  <si>
    <t>Interest Receivable</t>
  </si>
  <si>
    <t>Interest Receivable Rate</t>
  </si>
  <si>
    <t>Proportion into Period of Movement</t>
  </si>
  <si>
    <t>Opening Cash Balance</t>
  </si>
  <si>
    <t>Tax Rate</t>
  </si>
  <si>
    <t>Opening Interest Receivable</t>
  </si>
  <si>
    <t>Interest Expense</t>
  </si>
  <si>
    <t>Interest Paid</t>
  </si>
  <si>
    <t xml:space="preserve">Closing Interest Receivable </t>
  </si>
  <si>
    <t>Revenue First Year</t>
  </si>
  <si>
    <t>Revenue Growth Rate</t>
  </si>
  <si>
    <t>Days Receivable</t>
  </si>
  <si>
    <t>Days in Period</t>
  </si>
  <si>
    <t>Closing Receivables</t>
  </si>
  <si>
    <t>Opening Receivables</t>
  </si>
  <si>
    <t xml:space="preserve">Cash Receipts </t>
  </si>
  <si>
    <t>COGS and Related</t>
  </si>
  <si>
    <t>Gross Margin</t>
  </si>
  <si>
    <t>Gross Profit</t>
  </si>
  <si>
    <t>Days Payable</t>
  </si>
  <si>
    <t>Closing Payables</t>
  </si>
  <si>
    <t>Opening Payables</t>
  </si>
  <si>
    <t>Cash Payments</t>
  </si>
  <si>
    <t>Growth Rates Flag</t>
  </si>
  <si>
    <t>Existing Assets</t>
  </si>
  <si>
    <t>Annual Rate</t>
  </si>
  <si>
    <t>Accounting Depreciation - Straight Line</t>
  </si>
  <si>
    <t>Depreciation - Existing Assets</t>
  </si>
  <si>
    <t>Depreciation - New Assets</t>
  </si>
  <si>
    <t>New Assets - Depreciation Counter</t>
  </si>
  <si>
    <t>Aggregate Depreciation - Existing Assets</t>
  </si>
  <si>
    <t xml:space="preserve">Aggregate Depreciation - New Assets </t>
  </si>
  <si>
    <t xml:space="preserve">Total Depreciation </t>
  </si>
  <si>
    <t>Opening Net Book Value</t>
  </si>
  <si>
    <t>Closing Net Book Value</t>
  </si>
  <si>
    <t>Debt and Related</t>
  </si>
  <si>
    <t>Debt Drawdowns</t>
  </si>
  <si>
    <t>Debt Repayments</t>
  </si>
  <si>
    <t>Closing Debt</t>
  </si>
  <si>
    <t>Interest Rate</t>
  </si>
  <si>
    <t>Opening Debt</t>
  </si>
  <si>
    <t>Permanent Differences</t>
  </si>
  <si>
    <t>Non-Assessable Revenue</t>
  </si>
  <si>
    <t>Disallowable Expenses</t>
  </si>
  <si>
    <t xml:space="preserve">Accounting Taxable Profit </t>
  </si>
  <si>
    <t>Deduct: Non-Assessable Revenue</t>
  </si>
  <si>
    <t>Add: Disallowable Expenses</t>
  </si>
  <si>
    <t>Tax Depreciation (Declining Balance)</t>
  </si>
  <si>
    <t xml:space="preserve">Capital Expenditure </t>
  </si>
  <si>
    <t xml:space="preserve">Declining Balance Multiplier </t>
  </si>
  <si>
    <t>Remaining Life of Tax Assets</t>
  </si>
  <si>
    <t>Tax Asset Life of New Capex</t>
  </si>
  <si>
    <t xml:space="preserve">Depreciation - Existing Assets </t>
  </si>
  <si>
    <t xml:space="preserve">Tax Depreciation </t>
  </si>
  <si>
    <t xml:space="preserve">Accounting Depreciation </t>
  </si>
  <si>
    <t>Depreciation Timing Difference</t>
  </si>
  <si>
    <t>Tax Depreciation</t>
  </si>
  <si>
    <t>Tax Payable and Paid</t>
  </si>
  <si>
    <t>Taxable Profit / (Loss) Before Losses</t>
  </si>
  <si>
    <t>Tax Losses Used</t>
  </si>
  <si>
    <t>Taxable Profit / (Loss) after Losses</t>
  </si>
  <si>
    <t xml:space="preserve">Tax Payable for Period </t>
  </si>
  <si>
    <t>Payment Delay</t>
  </si>
  <si>
    <t>Opening Tax Payable</t>
  </si>
  <si>
    <t>Tax Payable for Period</t>
  </si>
  <si>
    <t>Tax Paid</t>
  </si>
  <si>
    <t>Closing Tax Payable</t>
  </si>
  <si>
    <t>Tax Losses Memorandum</t>
  </si>
  <si>
    <t>Opening Tax Losses</t>
  </si>
  <si>
    <t>Tax Losses Created During the Period</t>
  </si>
  <si>
    <t>Closing Tax Losses</t>
  </si>
  <si>
    <t>Movement in Tax Losses</t>
  </si>
  <si>
    <t xml:space="preserve">Ordinary Equity </t>
  </si>
  <si>
    <t xml:space="preserve">Equity Issuances </t>
  </si>
  <si>
    <t>Equity Buybacks</t>
  </si>
  <si>
    <t>Opening Equity</t>
  </si>
  <si>
    <t>Equity Issuances</t>
  </si>
  <si>
    <t>Closing Equity</t>
  </si>
  <si>
    <t>Maximum Dividend Payable</t>
  </si>
  <si>
    <t>Retained Profits</t>
  </si>
  <si>
    <t xml:space="preserve">Cash Flow Available for Dividends </t>
  </si>
  <si>
    <t>Dividend Based on Ratio</t>
  </si>
  <si>
    <t>Dividend Declared</t>
  </si>
  <si>
    <t xml:space="preserve">Opening Dividend Payable </t>
  </si>
  <si>
    <t>Dividends Paid</t>
  </si>
  <si>
    <t>Closing Dividend Payable</t>
  </si>
  <si>
    <t>Other Current Assets</t>
  </si>
  <si>
    <t>Unit</t>
  </si>
  <si>
    <t>Current Assets</t>
  </si>
  <si>
    <t xml:space="preserve">Cash </t>
  </si>
  <si>
    <t>Accounts Receivable</t>
  </si>
  <si>
    <t>Total Current Assets</t>
  </si>
  <si>
    <t>Non-Current Assets</t>
  </si>
  <si>
    <t>PP&amp;E</t>
  </si>
  <si>
    <t>Deferred Tax Assets</t>
  </si>
  <si>
    <t>Total Non-Current Assets</t>
  </si>
  <si>
    <t>Total Assets</t>
  </si>
  <si>
    <t>Current Liabilities</t>
  </si>
  <si>
    <t>Accounts Payable</t>
  </si>
  <si>
    <t>Interest Payable</t>
  </si>
  <si>
    <t>Dividends Payable</t>
  </si>
  <si>
    <t>Tax Payable</t>
  </si>
  <si>
    <t xml:space="preserve">Non-Current Liabilities </t>
  </si>
  <si>
    <t>Deferred Tax Liabilities</t>
  </si>
  <si>
    <t>Total Non-Current Liabilities</t>
  </si>
  <si>
    <t>Total Liabilities</t>
  </si>
  <si>
    <t>Net Assets</t>
  </si>
  <si>
    <t xml:space="preserve">Equity </t>
  </si>
  <si>
    <t>Ordinary Equity</t>
  </si>
  <si>
    <t xml:space="preserve">Dividends Declared </t>
  </si>
  <si>
    <t xml:space="preserve">Total Equity </t>
  </si>
  <si>
    <t>Checks</t>
  </si>
  <si>
    <t>PF Error Check</t>
  </si>
  <si>
    <t>Balance Check</t>
  </si>
  <si>
    <t>Operating Expenditure</t>
  </si>
  <si>
    <t>EBITDA</t>
  </si>
  <si>
    <t>EBIT</t>
  </si>
  <si>
    <t>Tax Expense</t>
  </si>
  <si>
    <t>Opening Profits</t>
  </si>
  <si>
    <t>Insolvency Check</t>
  </si>
  <si>
    <t>Operating Cash Flow</t>
  </si>
  <si>
    <t>Cash Receipts</t>
  </si>
  <si>
    <t xml:space="preserve">Direct Cash Payments </t>
  </si>
  <si>
    <t>Indirect Cash Payments</t>
  </si>
  <si>
    <t>Investing Cash Flows</t>
  </si>
  <si>
    <t xml:space="preserve">Interest Received </t>
  </si>
  <si>
    <t>Purchases of Non-Current Assets</t>
  </si>
  <si>
    <t>Financing Cash Flows</t>
  </si>
  <si>
    <t xml:space="preserve">Ordinary Equity Issuances </t>
  </si>
  <si>
    <t>Ordinary Equity Buybacks</t>
  </si>
  <si>
    <t>Net Increase / (Decrease) in Cash Held</t>
  </si>
  <si>
    <t>Indirect Extract</t>
  </si>
  <si>
    <t xml:space="preserve">Add Back: </t>
  </si>
  <si>
    <t>Movements in Working Capital:</t>
  </si>
  <si>
    <t>(Inc) / Dec in Current Assets</t>
  </si>
  <si>
    <t xml:space="preserve">Inc / (Dec) in Current Liabilities </t>
  </si>
  <si>
    <t>Deduct:</t>
  </si>
  <si>
    <t>Opening Balance Sheet</t>
  </si>
  <si>
    <t>Income Statement</t>
  </si>
  <si>
    <t>Balance Sheet</t>
  </si>
  <si>
    <t>Cash Flow Statement</t>
  </si>
  <si>
    <t>Remaining Life of Existing Assets</t>
  </si>
  <si>
    <t>Economic Life of New Capex</t>
  </si>
  <si>
    <t>Non-Interest Cash Movement</t>
  </si>
  <si>
    <t>Opening Interest Payable</t>
  </si>
  <si>
    <t>Closing Interest Payable</t>
  </si>
  <si>
    <t>General Assumptions</t>
  </si>
  <si>
    <t>Simple financial model example to highlight key concepts.</t>
  </si>
  <si>
    <t>US$'000</t>
  </si>
  <si>
    <t>No of Days</t>
  </si>
  <si>
    <t>No of Years</t>
  </si>
  <si>
    <t xml:space="preserve">Financial Statement Abbreviations </t>
  </si>
  <si>
    <t>Revenue and Related</t>
  </si>
  <si>
    <t xml:space="preserve">Days Receivable </t>
  </si>
  <si>
    <t>Opex and Cash Payments</t>
  </si>
  <si>
    <t>All expenses are assumed to be paid as they are incurred.</t>
  </si>
  <si>
    <t>Growth Rates Used From</t>
  </si>
  <si>
    <t xml:space="preserve">Growth Rates </t>
  </si>
  <si>
    <t>Capex and Related</t>
  </si>
  <si>
    <t>Movements are assumed to occur ar the end of each period.</t>
  </si>
  <si>
    <t>Interest is assumed to be paid in the following period.</t>
  </si>
  <si>
    <t xml:space="preserve">Proportion into Period of Movement </t>
  </si>
  <si>
    <t>Declining Balance Multiplier</t>
  </si>
  <si>
    <t>DTAs are assumed to arise through losses carried forward.</t>
  </si>
  <si>
    <t>DTLs are assumed to arise through depreciation timing differences.</t>
  </si>
  <si>
    <t xml:space="preserve">Ordinary Equity and Related </t>
  </si>
  <si>
    <t xml:space="preserve">Dividend Payout Ratio </t>
  </si>
  <si>
    <t>#</t>
  </si>
  <si>
    <t xml:space="preserve">Tax Expense / (Credit) </t>
  </si>
  <si>
    <t>Days in Standard Year</t>
  </si>
  <si>
    <t>Proportion of Year</t>
  </si>
  <si>
    <t>Assume no movement.</t>
  </si>
  <si>
    <t>Interest Income</t>
  </si>
  <si>
    <t>Interest Received</t>
  </si>
  <si>
    <t>Reconciliation Check:</t>
  </si>
  <si>
    <t>Opening Balance Sheet - no errors</t>
  </si>
  <si>
    <t>Opening Balance Sheet - balances</t>
  </si>
  <si>
    <t>Opening Balance Sheet - solvent</t>
  </si>
  <si>
    <t>Balance Sheet - no errors</t>
  </si>
  <si>
    <t>Balance Sheet - balances</t>
  </si>
  <si>
    <t>Balance Sheet - solvent</t>
  </si>
  <si>
    <t>Cash Flow Statement - no errors</t>
  </si>
  <si>
    <t>Cash Flow Statement - direct = indirect</t>
  </si>
  <si>
    <t>Days_in_Year</t>
  </si>
  <si>
    <t>Months_in_Month</t>
  </si>
  <si>
    <t>Months_in_Qtr</t>
  </si>
  <si>
    <t>Months_in_Half_Yr</t>
  </si>
  <si>
    <t>Months_in_Year</t>
  </si>
  <si>
    <t>Quarters_in_Year</t>
  </si>
  <si>
    <t>Rounding_Accuracy</t>
  </si>
  <si>
    <t>Very_Large_Number</t>
  </si>
  <si>
    <t>Very_Small_Number</t>
  </si>
  <si>
    <t>No_of_Days</t>
  </si>
  <si>
    <t>No_of_Years</t>
  </si>
  <si>
    <t>Income_Statement</t>
  </si>
  <si>
    <t>Balance_Sheet</t>
  </si>
  <si>
    <t>Cash_Flow_Statement</t>
  </si>
  <si>
    <r>
      <t xml:space="preserve">In cell </t>
    </r>
    <r>
      <rPr>
        <b/>
        <i/>
        <sz val="8"/>
        <color rgb="FFFF0000"/>
        <rFont val="Arial"/>
        <family val="2"/>
      </rPr>
      <t>K72:</t>
    </r>
    <r>
      <rPr>
        <i/>
        <sz val="8"/>
        <color rgb="FFFF0000"/>
        <rFont val="Arial"/>
        <family val="2"/>
      </rPr>
      <t xml:space="preserve"> ='General Assumptions'!K43</t>
    </r>
  </si>
  <si>
    <t xml:space="preserve">Interest Receivable </t>
  </si>
  <si>
    <t>Other Current Liabilities</t>
  </si>
  <si>
    <t>Total Current Liabilities</t>
  </si>
  <si>
    <t>Dividends are assumed to be paid in the period after they are declared.</t>
  </si>
  <si>
    <t>Free Cash Flow to the Firm</t>
  </si>
  <si>
    <t>Free Cash Flow to Equity</t>
  </si>
  <si>
    <t>Pre-Financing Tax Paid</t>
  </si>
  <si>
    <t>WACC</t>
  </si>
  <si>
    <t>Discount Factor</t>
  </si>
  <si>
    <t>Present Value of Cash Flows</t>
  </si>
  <si>
    <t>Net Present Value</t>
  </si>
  <si>
    <t>Midpoint</t>
  </si>
  <si>
    <t>Time from Start to Midpoint</t>
  </si>
  <si>
    <t>Fraction of Year</t>
  </si>
  <si>
    <t>FCFF (End)</t>
  </si>
  <si>
    <t>FCFF (Mid)</t>
  </si>
  <si>
    <t>FCFE</t>
  </si>
  <si>
    <t>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</si>
</sst>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[$-C09]dd\-mmm\-yy;@"/>
    <numFmt numFmtId="168" formatCode=";;;"/>
    <numFmt numFmtId="169" formatCode="_(#,##0_);[Red]\(#,##0\);_(\-_);"/>
    <numFmt numFmtId="170" formatCode="_(&quot;$&quot;#,##0.0_);\(&quot;$&quot;#,##0.0\);_(&quot;-&quot;_)"/>
    <numFmt numFmtId="171" formatCode="_(#,##0.0_);\(#,##0.0\);_(&quot;-&quot;_)"/>
    <numFmt numFmtId="172" formatCode="&quot;Row &quot;###0"/>
    <numFmt numFmtId="173" formatCode="#,##0."/>
    <numFmt numFmtId="174" formatCode="_(#,##0_);\(#,##0\);_(\-_)"/>
    <numFmt numFmtId="175" formatCode="_(#,##0.00_);\(#,##0.00\);_(\-_._0_0_)"/>
    <numFmt numFmtId="176" formatCode="&quot;$&quot;* _(#,##0.00_);&quot;$&quot;* \(#,##0.00\);&quot;$&quot;* _(\-_._0_0_)"/>
    <numFmt numFmtId="177" formatCode="&quot;$&quot;* _(#,##0_);&quot;$&quot;* \(#,##0\);&quot;$&quot;* _(\-_)"/>
    <numFmt numFmtId="178" formatCode="[$-C09]dd\ mmm\ yy;@"/>
    <numFmt numFmtId="179" formatCode="mmm\ yy"/>
    <numFmt numFmtId="180" formatCode="[$-C09]d\ mmm\ yy;@"/>
    <numFmt numFmtId="181" formatCode="#,##0&quot; Year(s)&quot;"/>
    <numFmt numFmtId="182" formatCode="0.00\x"/>
    <numFmt numFmtId="183" formatCode="&quot;Depreciation - New Capex: Year&quot;\ 0"/>
    <numFmt numFmtId="184" formatCode="_-* #,##0.000_-;\-* #,##0.000_-;_-* &quot;-&quot;??_-;_-@_-"/>
    <numFmt numFmtId="185" formatCode="_-* #,##0.0_-;\-* #,##0.0_-;_-* &quot;-&quot;??_-;_-@_-"/>
    <numFmt numFmtId="186" formatCode="_-* #,##0.0_-;\-* #,##0.0_-;_-* &quot;-&quot;_-;_-@_-"/>
  </numFmts>
  <fonts count="38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8" tint="-0.499984740745262"/>
      <name val="Arial"/>
      <family val="2"/>
    </font>
    <font>
      <sz val="9"/>
      <color theme="0"/>
      <name val="Wingdings"/>
      <charset val="2"/>
    </font>
    <font>
      <sz val="6"/>
      <color theme="0"/>
      <name val="Wingdings"/>
      <charset val="2"/>
    </font>
    <font>
      <b/>
      <i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7" applyNumberFormat="0" applyAlignment="0">
      <protection locked="0"/>
    </xf>
    <xf numFmtId="0" fontId="3" fillId="0" borderId="0" applyNumberFormat="0" applyFill="0" applyBorder="0"/>
    <xf numFmtId="180" fontId="23" fillId="0" borderId="0" applyFill="0" applyBorder="0" applyProtection="0">
      <alignment horizontal="center"/>
    </xf>
    <xf numFmtId="179" fontId="24" fillId="0" borderId="0" applyFill="0" applyBorder="0" applyProtection="0">
      <alignment horizontal="center"/>
    </xf>
    <xf numFmtId="168" fontId="33" fillId="5" borderId="7" applyAlignment="0"/>
    <xf numFmtId="164" fontId="36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10" borderId="8" applyNumberFormat="0" applyAlignment="0"/>
    <xf numFmtId="41" fontId="1" fillId="0" borderId="9" applyNumberFormat="0" applyFont="0" applyFill="0" applyAlignment="0"/>
    <xf numFmtId="169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69" fontId="1" fillId="0" borderId="0" applyFont="0" applyFill="0" applyBorder="0" applyAlignment="0" applyProtection="0"/>
    <xf numFmtId="0" fontId="26" fillId="6" borderId="2" applyNumberFormat="0" applyAlignment="0" applyProtection="0"/>
    <xf numFmtId="0" fontId="7" fillId="0" borderId="0" applyNumberFormat="0" applyFill="0" applyBorder="0" applyAlignment="0" applyProtection="0"/>
    <xf numFmtId="170" fontId="8" fillId="0" borderId="0" applyFill="0" applyBorder="0">
      <alignment horizontal="right" vertical="center"/>
    </xf>
    <xf numFmtId="171" fontId="8" fillId="0" borderId="0" applyFill="0" applyBorder="0">
      <alignment horizontal="right" vertical="center"/>
    </xf>
    <xf numFmtId="172" fontId="29" fillId="6" borderId="7">
      <alignment horizontal="center"/>
    </xf>
    <xf numFmtId="41" fontId="5" fillId="7" borderId="8" applyFont="0" applyAlignment="0"/>
    <xf numFmtId="0" fontId="13" fillId="9" borderId="0" applyNumberFormat="0">
      <alignment horizontal="center"/>
    </xf>
    <xf numFmtId="0" fontId="30" fillId="0" borderId="0" applyNumberFormat="0" applyFill="0" applyBorder="0" applyProtection="0"/>
    <xf numFmtId="0" fontId="31" fillId="8" borderId="12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3" applyNumberFormat="0" applyFill="0" applyAlignment="0" applyProtection="0"/>
    <xf numFmtId="0" fontId="19" fillId="0" borderId="14" applyNumberFormat="0" applyFill="0" applyAlignment="0" applyProtection="0"/>
    <xf numFmtId="0" fontId="18" fillId="0" borderId="15" applyNumberFormat="0" applyFill="0" applyAlignment="0" applyProtection="0"/>
    <xf numFmtId="173" fontId="16" fillId="3" borderId="1"/>
  </cellStyleXfs>
  <cellXfs count="188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13" fillId="9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9" borderId="0" xfId="33" applyBorder="1">
      <alignment horizontal="center"/>
    </xf>
    <xf numFmtId="0" fontId="25" fillId="4" borderId="7" xfId="14">
      <protection locked="0"/>
    </xf>
    <xf numFmtId="0" fontId="12" fillId="0" borderId="0" xfId="0" applyFont="1" applyBorder="1"/>
    <xf numFmtId="0" fontId="26" fillId="0" borderId="3" xfId="13" applyAlignment="1"/>
    <xf numFmtId="168" fontId="33" fillId="5" borderId="7" xfId="18"/>
    <xf numFmtId="164" fontId="36" fillId="2" borderId="2" xfId="19">
      <alignment horizontal="center"/>
      <protection locked="0"/>
    </xf>
    <xf numFmtId="0" fontId="28" fillId="10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6" fillId="6" borderId="2" xfId="27"/>
    <xf numFmtId="0" fontId="7" fillId="0" borderId="0" xfId="28"/>
    <xf numFmtId="172" fontId="29" fillId="6" borderId="7" xfId="31">
      <alignment horizontal="center"/>
    </xf>
    <xf numFmtId="41" fontId="0" fillId="7" borderId="8" xfId="32" applyFont="1"/>
    <xf numFmtId="0" fontId="30" fillId="0" borderId="0" xfId="34"/>
    <xf numFmtId="0" fontId="31" fillId="8" borderId="12" xfId="35">
      <protection locked="0"/>
    </xf>
    <xf numFmtId="41" fontId="0" fillId="0" borderId="0" xfId="2" applyFont="1"/>
    <xf numFmtId="169" fontId="0" fillId="0" borderId="0" xfId="26" applyFont="1"/>
    <xf numFmtId="9" fontId="0" fillId="0" borderId="0" xfId="5" applyFont="1"/>
    <xf numFmtId="0" fontId="0" fillId="0" borderId="0" xfId="0"/>
    <xf numFmtId="180" fontId="23" fillId="0" borderId="0" xfId="16">
      <alignment horizontal="center"/>
    </xf>
    <xf numFmtId="179" fontId="24" fillId="0" borderId="0" xfId="17">
      <alignment horizontal="center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0" fontId="0" fillId="0" borderId="0" xfId="0" applyBorder="1"/>
    <xf numFmtId="0" fontId="27" fillId="0" borderId="0" xfId="8">
      <alignment horizontal="left"/>
      <protection locked="0"/>
    </xf>
    <xf numFmtId="0" fontId="14" fillId="0" borderId="0" xfId="7"/>
    <xf numFmtId="0" fontId="15" fillId="0" borderId="0" xfId="9"/>
    <xf numFmtId="173" fontId="16" fillId="3" borderId="1" xfId="41"/>
    <xf numFmtId="41" fontId="25" fillId="4" borderId="7" xfId="14" applyNumberFormat="1">
      <protection locked="0"/>
    </xf>
    <xf numFmtId="174" fontId="0" fillId="0" borderId="0" xfId="2" applyNumberFormat="1" applyFont="1"/>
    <xf numFmtId="175" fontId="0" fillId="0" borderId="0" xfId="1" applyNumberFormat="1" applyFont="1"/>
    <xf numFmtId="176" fontId="0" fillId="0" borderId="0" xfId="3" applyNumberFormat="1" applyFont="1"/>
    <xf numFmtId="177" fontId="0" fillId="0" borderId="0" xfId="4" applyNumberFormat="1" applyFont="1"/>
    <xf numFmtId="178" fontId="23" fillId="0" borderId="0" xfId="16" applyNumberFormat="1" applyBorder="1">
      <alignment horizontal="center"/>
    </xf>
    <xf numFmtId="179" fontId="24" fillId="0" borderId="0" xfId="17" applyNumberFormat="1" applyBorder="1">
      <alignment horizontal="center"/>
    </xf>
    <xf numFmtId="167" fontId="0" fillId="0" borderId="0" xfId="0" applyNumberFormat="1"/>
    <xf numFmtId="41" fontId="26" fillId="0" borderId="3" xfId="2" applyFont="1" applyBorder="1" applyAlignment="1"/>
    <xf numFmtId="0" fontId="27" fillId="0" borderId="0" xfId="8" applyAlignment="1">
      <protection locked="0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Border="1"/>
    <xf numFmtId="0" fontId="17" fillId="0" borderId="0" xfId="11"/>
    <xf numFmtId="0" fontId="30" fillId="0" borderId="0" xfId="34" applyBorder="1"/>
    <xf numFmtId="164" fontId="2" fillId="2" borderId="16" xfId="0" applyNumberFormat="1" applyFont="1" applyFill="1" applyBorder="1" applyAlignment="1" applyProtection="1">
      <alignment horizontal="center"/>
      <protection locked="0"/>
    </xf>
    <xf numFmtId="0" fontId="24" fillId="0" borderId="0" xfId="0" applyFont="1"/>
    <xf numFmtId="181" fontId="25" fillId="4" borderId="7" xfId="14" applyNumberFormat="1">
      <protection locked="0"/>
    </xf>
    <xf numFmtId="181" fontId="0" fillId="0" borderId="0" xfId="0" applyNumberFormat="1"/>
    <xf numFmtId="41" fontId="28" fillId="10" borderId="8" xfId="21"/>
    <xf numFmtId="9" fontId="28" fillId="10" borderId="8" xfId="21" applyNumberFormat="1"/>
    <xf numFmtId="41" fontId="30" fillId="0" borderId="0" xfId="2" applyFont="1"/>
    <xf numFmtId="41" fontId="24" fillId="0" borderId="10" xfId="23" applyNumberFormat="1" applyFont="1"/>
    <xf numFmtId="0" fontId="0" fillId="0" borderId="0" xfId="0" applyAlignment="1">
      <alignment horizontal="left"/>
    </xf>
    <xf numFmtId="0" fontId="15" fillId="0" borderId="0" xfId="9" applyAlignment="1">
      <alignment horizontal="left"/>
    </xf>
    <xf numFmtId="0" fontId="27" fillId="0" borderId="0" xfId="8" applyAlignment="1">
      <alignment horizontal="left"/>
      <protection locked="0"/>
    </xf>
    <xf numFmtId="173" fontId="16" fillId="3" borderId="1" xfId="41" applyAlignment="1">
      <alignment horizontal="left"/>
    </xf>
    <xf numFmtId="0" fontId="16" fillId="3" borderId="1" xfId="10" applyAlignment="1">
      <alignment horizontal="left"/>
    </xf>
    <xf numFmtId="0" fontId="17" fillId="0" borderId="0" xfId="11" applyAlignment="1">
      <alignment horizontal="left"/>
    </xf>
    <xf numFmtId="0" fontId="18" fillId="0" borderId="0" xfId="12" applyAlignment="1">
      <alignment horizontal="left"/>
    </xf>
    <xf numFmtId="0" fontId="24" fillId="0" borderId="0" xfId="0" applyFont="1" applyAlignment="1">
      <alignment horizontal="left"/>
    </xf>
    <xf numFmtId="0" fontId="27" fillId="0" borderId="0" xfId="8">
      <alignment horizontal="left"/>
      <protection locked="0"/>
    </xf>
    <xf numFmtId="0" fontId="0" fillId="0" borderId="0" xfId="0"/>
    <xf numFmtId="0" fontId="27" fillId="0" borderId="0" xfId="8">
      <alignment horizontal="left"/>
      <protection locked="0"/>
    </xf>
    <xf numFmtId="0" fontId="0" fillId="0" borderId="0" xfId="0" applyBorder="1"/>
    <xf numFmtId="0" fontId="0" fillId="0" borderId="0" xfId="0"/>
    <xf numFmtId="169" fontId="25" fillId="4" borderId="7" xfId="26" applyFont="1" applyFill="1" applyBorder="1" applyProtection="1">
      <protection locked="0"/>
    </xf>
    <xf numFmtId="9" fontId="25" fillId="4" borderId="7" xfId="5" applyFont="1" applyFill="1" applyBorder="1" applyProtection="1">
      <protection locked="0"/>
    </xf>
    <xf numFmtId="167" fontId="25" fillId="4" borderId="7" xfId="14" applyNumberFormat="1" applyAlignment="1">
      <alignment horizontal="center"/>
      <protection locked="0"/>
    </xf>
    <xf numFmtId="41" fontId="26" fillId="0" borderId="3" xfId="13" applyNumberFormat="1" applyAlignment="1"/>
    <xf numFmtId="43" fontId="25" fillId="4" borderId="7" xfId="1" applyFont="1" applyFill="1" applyBorder="1" applyProtection="1">
      <protection locked="0"/>
    </xf>
    <xf numFmtId="0" fontId="23" fillId="0" borderId="0" xfId="0" applyFont="1" applyAlignment="1">
      <alignment horizontal="left"/>
    </xf>
    <xf numFmtId="0" fontId="23" fillId="0" borderId="0" xfId="0" applyFont="1"/>
    <xf numFmtId="0" fontId="27" fillId="0" borderId="0" xfId="8" applyFont="1">
      <alignment horizontal="left"/>
      <protection locked="0"/>
    </xf>
    <xf numFmtId="0" fontId="27" fillId="0" borderId="0" xfId="8" applyFont="1" applyAlignment="1">
      <alignment horizontal="left"/>
      <protection locked="0"/>
    </xf>
    <xf numFmtId="41" fontId="23" fillId="0" borderId="0" xfId="2" applyFont="1"/>
    <xf numFmtId="164" fontId="35" fillId="2" borderId="16" xfId="0" applyNumberFormat="1" applyFont="1" applyFill="1" applyBorder="1" applyAlignment="1" applyProtection="1">
      <alignment horizontal="center"/>
      <protection locked="0"/>
    </xf>
    <xf numFmtId="0" fontId="13" fillId="3" borderId="1" xfId="10" applyFont="1" applyAlignment="1">
      <alignment horizontal="left"/>
    </xf>
    <xf numFmtId="0" fontId="13" fillId="3" borderId="1" xfId="10" applyFont="1"/>
    <xf numFmtId="0" fontId="23" fillId="0" borderId="0" xfId="0" applyFont="1" applyBorder="1"/>
    <xf numFmtId="0" fontId="34" fillId="0" borderId="0" xfId="11" applyFont="1" applyAlignment="1">
      <alignment horizontal="left"/>
    </xf>
    <xf numFmtId="0" fontId="24" fillId="0" borderId="0" xfId="12" applyFont="1" applyAlignment="1">
      <alignment horizontal="left"/>
    </xf>
    <xf numFmtId="0" fontId="30" fillId="0" borderId="0" xfId="34" applyFont="1"/>
    <xf numFmtId="0" fontId="30" fillId="0" borderId="0" xfId="34" applyFont="1" applyBorder="1"/>
    <xf numFmtId="41" fontId="28" fillId="10" borderId="8" xfId="21" applyFont="1"/>
    <xf numFmtId="9" fontId="28" fillId="10" borderId="8" xfId="21" applyNumberFormat="1" applyFont="1"/>
    <xf numFmtId="1" fontId="30" fillId="0" borderId="0" xfId="34" applyNumberFormat="1" applyFont="1"/>
    <xf numFmtId="14" fontId="23" fillId="0" borderId="0" xfId="0" applyNumberFormat="1" applyFont="1"/>
    <xf numFmtId="41" fontId="23" fillId="0" borderId="10" xfId="23" applyNumberFormat="1" applyFont="1"/>
    <xf numFmtId="1" fontId="30" fillId="0" borderId="0" xfId="34" applyNumberFormat="1" applyFont="1" applyFill="1" applyBorder="1"/>
    <xf numFmtId="167" fontId="28" fillId="10" borderId="8" xfId="21" applyNumberFormat="1" applyFont="1"/>
    <xf numFmtId="168" fontId="33" fillId="5" borderId="7" xfId="18" applyFont="1"/>
    <xf numFmtId="41" fontId="30" fillId="0" borderId="0" xfId="34" applyNumberFormat="1" applyFont="1"/>
    <xf numFmtId="41" fontId="30" fillId="0" borderId="0" xfId="34" applyNumberFormat="1" applyFont="1" applyFill="1" applyBorder="1"/>
    <xf numFmtId="182" fontId="23" fillId="0" borderId="0" xfId="0" applyNumberFormat="1" applyFont="1"/>
    <xf numFmtId="41" fontId="33" fillId="5" borderId="7" xfId="2" applyFont="1" applyFill="1" applyBorder="1"/>
    <xf numFmtId="183" fontId="23" fillId="0" borderId="0" xfId="0" applyNumberFormat="1" applyFont="1" applyAlignment="1">
      <alignment horizontal="left"/>
    </xf>
    <xf numFmtId="41" fontId="23" fillId="7" borderId="8" xfId="2" applyFont="1" applyFill="1" applyBorder="1"/>
    <xf numFmtId="41" fontId="23" fillId="0" borderId="0" xfId="2" applyFont="1" applyBorder="1"/>
    <xf numFmtId="9" fontId="23" fillId="0" borderId="0" xfId="0" applyNumberFormat="1" applyFont="1"/>
    <xf numFmtId="168" fontId="30" fillId="5" borderId="7" xfId="34" applyNumberFormat="1" applyFont="1" applyFill="1" applyBorder="1"/>
    <xf numFmtId="168" fontId="33" fillId="5" borderId="19" xfId="18" applyFont="1" applyBorder="1"/>
    <xf numFmtId="0" fontId="27" fillId="0" borderId="0" xfId="8" applyFont="1">
      <alignment horizontal="left"/>
      <protection locked="0"/>
    </xf>
    <xf numFmtId="164" fontId="35" fillId="2" borderId="2" xfId="0" applyNumberFormat="1" applyFont="1" applyFill="1" applyBorder="1" applyAlignment="1" applyProtection="1">
      <alignment horizontal="center"/>
      <protection locked="0"/>
    </xf>
    <xf numFmtId="41" fontId="25" fillId="4" borderId="7" xfId="14" applyNumberFormat="1" applyFont="1">
      <protection locked="0"/>
    </xf>
    <xf numFmtId="0" fontId="27" fillId="0" borderId="0" xfId="8" applyFont="1" applyAlignment="1">
      <protection locked="0"/>
    </xf>
    <xf numFmtId="173" fontId="13" fillId="3" borderId="1" xfId="41" applyFont="1"/>
    <xf numFmtId="0" fontId="34" fillId="0" borderId="0" xfId="11" applyFont="1" applyBorder="1"/>
    <xf numFmtId="0" fontId="26" fillId="0" borderId="3" xfId="13" applyFont="1" applyAlignment="1">
      <alignment horizontal="center"/>
    </xf>
    <xf numFmtId="166" fontId="26" fillId="0" borderId="3" xfId="13" applyNumberFormat="1" applyFont="1" applyAlignment="1">
      <alignment horizontal="center"/>
    </xf>
    <xf numFmtId="14" fontId="26" fillId="0" borderId="3" xfId="13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8" applyFont="1" applyAlignment="1">
      <alignment horizontal="right"/>
      <protection locked="0"/>
    </xf>
    <xf numFmtId="164" fontId="35" fillId="2" borderId="2" xfId="19" applyFont="1">
      <alignment horizontal="center"/>
      <protection locked="0"/>
    </xf>
    <xf numFmtId="173" fontId="16" fillId="3" borderId="1" xfId="10" applyNumberFormat="1"/>
    <xf numFmtId="169" fontId="23" fillId="0" borderId="0" xfId="26" applyFont="1"/>
    <xf numFmtId="169" fontId="28" fillId="10" borderId="8" xfId="21" applyNumberFormat="1"/>
    <xf numFmtId="169" fontId="24" fillId="0" borderId="0" xfId="26" applyFont="1"/>
    <xf numFmtId="169" fontId="23" fillId="0" borderId="10" xfId="26" applyFont="1" applyBorder="1"/>
    <xf numFmtId="179" fontId="24" fillId="10" borderId="8" xfId="17" applyFill="1" applyBorder="1">
      <alignment horizontal="center"/>
    </xf>
    <xf numFmtId="169" fontId="28" fillId="10" borderId="8" xfId="26" applyFont="1" applyFill="1" applyBorder="1"/>
    <xf numFmtId="9" fontId="28" fillId="10" borderId="8" xfId="5" applyFont="1" applyFill="1" applyBorder="1"/>
    <xf numFmtId="169" fontId="24" fillId="0" borderId="10" xfId="26" applyFont="1" applyBorder="1"/>
    <xf numFmtId="169" fontId="23" fillId="0" borderId="0" xfId="26" applyFont="1" applyBorder="1"/>
    <xf numFmtId="9" fontId="23" fillId="0" borderId="0" xfId="5" applyFont="1"/>
    <xf numFmtId="9" fontId="23" fillId="0" borderId="9" xfId="22" applyNumberFormat="1" applyFont="1"/>
    <xf numFmtId="169" fontId="23" fillId="0" borderId="18" xfId="26" applyFont="1" applyBorder="1"/>
    <xf numFmtId="169" fontId="23" fillId="0" borderId="17" xfId="26" applyFont="1" applyBorder="1"/>
    <xf numFmtId="181" fontId="28" fillId="10" borderId="8" xfId="21" applyNumberFormat="1"/>
    <xf numFmtId="9" fontId="28" fillId="10" borderId="8" xfId="5" applyFont="1" applyFill="1" applyBorder="1" applyAlignment="1">
      <alignment horizontal="center" vertical="center"/>
    </xf>
    <xf numFmtId="41" fontId="24" fillId="0" borderId="20" xfId="23" applyNumberFormat="1" applyFont="1" applyBorder="1"/>
    <xf numFmtId="169" fontId="0" fillId="0" borderId="10" xfId="26" applyFont="1" applyBorder="1"/>
    <xf numFmtId="0" fontId="24" fillId="0" borderId="0" xfId="12" applyFont="1"/>
    <xf numFmtId="164" fontId="35" fillId="11" borderId="16" xfId="0" applyNumberFormat="1" applyFont="1" applyFill="1" applyBorder="1" applyAlignment="1" applyProtection="1">
      <alignment horizontal="center"/>
      <protection locked="0"/>
    </xf>
    <xf numFmtId="1" fontId="23" fillId="0" borderId="0" xfId="0" applyNumberFormat="1" applyFont="1"/>
    <xf numFmtId="0" fontId="0" fillId="0" borderId="0" xfId="0" applyFont="1" applyAlignment="1">
      <alignment horizontal="left"/>
    </xf>
    <xf numFmtId="169" fontId="24" fillId="0" borderId="20" xfId="26" applyFont="1" applyBorder="1"/>
    <xf numFmtId="0" fontId="23" fillId="0" borderId="0" xfId="0" applyFont="1" applyAlignment="1">
      <alignment horizontal="left" indent="1"/>
    </xf>
    <xf numFmtId="169" fontId="23" fillId="0" borderId="9" xfId="26" applyFont="1" applyBorder="1"/>
    <xf numFmtId="164" fontId="35" fillId="11" borderId="2" xfId="0" applyNumberFormat="1" applyFont="1" applyFill="1" applyBorder="1" applyAlignment="1" applyProtection="1">
      <alignment horizontal="center"/>
      <protection locked="0"/>
    </xf>
    <xf numFmtId="15" fontId="26" fillId="6" borderId="2" xfId="27" applyNumberFormat="1" applyAlignment="1">
      <alignment horizontal="center"/>
    </xf>
    <xf numFmtId="0" fontId="25" fillId="4" borderId="7" xfId="14" applyNumberFormat="1" applyAlignment="1">
      <alignment horizontal="center"/>
      <protection locked="0"/>
    </xf>
    <xf numFmtId="178" fontId="31" fillId="12" borderId="3" xfId="13" applyNumberFormat="1" applyFont="1" applyFill="1">
      <alignment horizontal="center"/>
    </xf>
    <xf numFmtId="0" fontId="27" fillId="0" borderId="0" xfId="8">
      <alignment horizontal="left"/>
      <protection locked="0"/>
    </xf>
    <xf numFmtId="0" fontId="13" fillId="9" borderId="0" xfId="33">
      <alignment horizontal="center"/>
    </xf>
    <xf numFmtId="0" fontId="32" fillId="0" borderId="0" xfId="25" applyNumberFormat="1" applyBorder="1"/>
    <xf numFmtId="41" fontId="31" fillId="12" borderId="7" xfId="14" applyNumberFormat="1" applyFont="1" applyFill="1">
      <protection locked="0"/>
    </xf>
    <xf numFmtId="41" fontId="32" fillId="0" borderId="0" xfId="25" applyNumberFormat="1" applyFill="1" applyBorder="1"/>
    <xf numFmtId="0" fontId="27" fillId="0" borderId="0" xfId="8" applyFont="1">
      <alignment horizontal="left"/>
      <protection locked="0"/>
    </xf>
    <xf numFmtId="0" fontId="27" fillId="0" borderId="0" xfId="8" applyFont="1">
      <alignment horizontal="left"/>
      <protection locked="0"/>
    </xf>
    <xf numFmtId="0" fontId="27" fillId="0" borderId="0" xfId="8">
      <alignment horizontal="left"/>
      <protection locked="0"/>
    </xf>
    <xf numFmtId="0" fontId="0" fillId="0" borderId="0" xfId="0"/>
    <xf numFmtId="9" fontId="25" fillId="4" borderId="7" xfId="5" applyFont="1" applyFill="1" applyBorder="1" applyAlignment="1" applyProtection="1">
      <alignment horizontal="center"/>
      <protection locked="0"/>
    </xf>
    <xf numFmtId="184" fontId="23" fillId="0" borderId="0" xfId="0" applyNumberFormat="1" applyFont="1"/>
    <xf numFmtId="185" fontId="0" fillId="0" borderId="0" xfId="2" applyNumberFormat="1" applyFont="1"/>
    <xf numFmtId="186" fontId="0" fillId="0" borderId="0" xfId="2" applyNumberFormat="1" applyFont="1"/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 applyBorder="1"/>
    <xf numFmtId="0" fontId="13" fillId="9" borderId="0" xfId="33">
      <alignment horizontal="center"/>
    </xf>
    <xf numFmtId="0" fontId="0" fillId="0" borderId="0" xfId="0"/>
    <xf numFmtId="0" fontId="13" fillId="9" borderId="0" xfId="33" applyBorder="1">
      <alignment horizontal="center"/>
    </xf>
    <xf numFmtId="0" fontId="27" fillId="0" borderId="0" xfId="8" applyFont="1">
      <alignment horizontal="left"/>
      <protection locked="0"/>
    </xf>
    <xf numFmtId="0" fontId="26" fillId="0" borderId="4" xfId="13" applyFont="1" applyBorder="1" applyAlignment="1">
      <alignment horizontal="left"/>
    </xf>
    <xf numFmtId="0" fontId="26" fillId="0" borderId="5" xfId="13" applyFont="1" applyBorder="1" applyAlignment="1">
      <alignment horizontal="left"/>
    </xf>
    <xf numFmtId="0" fontId="26" fillId="0" borderId="6" xfId="13" applyFont="1" applyBorder="1" applyAlignment="1">
      <alignment horizontal="left"/>
    </xf>
    <xf numFmtId="0" fontId="25" fillId="4" borderId="7" xfId="14" applyFont="1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30">
    <dxf>
      <numFmt numFmtId="167" formatCode="[$-C09]dd\-mmm\-yy;@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;;;"/>
      <fill>
        <patternFill>
          <bgColor theme="0" tint="-0.14996795556505021"/>
        </patternFill>
      </fill>
    </dxf>
    <dxf>
      <numFmt numFmtId="168" formatCode=";;;"/>
      <fill>
        <patternFill>
          <bgColor theme="0" tint="-0.14996795556505021"/>
        </patternFill>
      </fill>
    </dxf>
    <dxf>
      <numFmt numFmtId="168" formatCode=";;;"/>
      <fill>
        <patternFill>
          <bgColor theme="6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29"/>
      <tableStyleElement type="firstRowStripe" dxfId="28"/>
      <tableStyleElement type="secondRow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7</xdr:row>
      <xdr:rowOff>54078</xdr:rowOff>
    </xdr:from>
    <xdr:to>
      <xdr:col>6</xdr:col>
      <xdr:colOff>315383</xdr:colOff>
      <xdr:row>12</xdr:row>
      <xdr:rowOff>12700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311378"/>
          <a:ext cx="2048933" cy="7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ngeLog" displayName="ChangeLog" ref="F10:K13" totalsRowShown="0" headerRowCellStyle="Table_Heading">
  <autoFilter ref="F10:K13" xr:uid="{00000000-0009-0000-0100-000001000000}"/>
  <tableColumns count="6">
    <tableColumn id="1" xr3:uid="{00000000-0010-0000-0000-000001000000}" name="Date" dataCellStyle="Date"/>
    <tableColumn id="2" xr3:uid="{00000000-0010-0000-0000-000002000000}" name="Model Version "/>
    <tableColumn id="3" xr3:uid="{00000000-0010-0000-0000-000003000000}" name="Details of change"/>
    <tableColumn id="4" xr3:uid="{00000000-0010-0000-0000-000004000000}" name="Worksheet Reference"/>
    <tableColumn id="5" xr3:uid="{00000000-0010-0000-0000-000005000000}" name="Row, column, cell reference" dataDxfId="0"/>
    <tableColumn id="6" xr3:uid="{00000000-0010-0000-0000-000006000000}" name="Auth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176" t="s">
        <v>1</v>
      </c>
    </row>
    <row r="5" spans="1:19" ht="20.25" x14ac:dyDescent="0.3">
      <c r="C5" s="46" t="str">
        <f>Client_Name</f>
        <v>Example</v>
      </c>
      <c r="D5" s="6"/>
      <c r="E5" s="6"/>
      <c r="F5" s="6"/>
      <c r="G5" s="6"/>
      <c r="H5" s="6"/>
      <c r="I5" s="6"/>
      <c r="J5" s="6"/>
    </row>
    <row r="6" spans="1:19" ht="18" x14ac:dyDescent="0.25">
      <c r="C6" s="47" t="str">
        <f ca="1">Model_Name</f>
        <v>Chapter 7.1 - SP Case Study Model vLB1.01.xlsx</v>
      </c>
      <c r="D6" s="6"/>
      <c r="E6" s="6"/>
      <c r="F6" s="6"/>
      <c r="G6" s="6"/>
      <c r="H6" s="6"/>
      <c r="I6" s="6"/>
      <c r="J6" s="6"/>
    </row>
    <row r="7" spans="1:19" ht="12.75" x14ac:dyDescent="0.2">
      <c r="C7" s="6"/>
      <c r="D7" s="6"/>
      <c r="E7" s="6"/>
      <c r="F7" s="6"/>
      <c r="G7" s="6"/>
      <c r="H7" s="6"/>
      <c r="I7" s="6"/>
      <c r="J7" s="6"/>
    </row>
    <row r="8" spans="1:19" ht="12.75" x14ac:dyDescent="0.2">
      <c r="C8" s="6"/>
      <c r="D8" s="6"/>
      <c r="E8" s="6"/>
      <c r="F8" s="6"/>
      <c r="G8" s="6"/>
      <c r="H8" s="6"/>
      <c r="I8" s="6"/>
      <c r="J8" s="6"/>
    </row>
    <row r="9" spans="1:19" ht="12.75" x14ac:dyDescent="0.2">
      <c r="C9" s="6"/>
      <c r="D9" s="6"/>
      <c r="E9" s="6"/>
      <c r="F9" s="6"/>
      <c r="G9" s="6"/>
      <c r="H9" s="6"/>
      <c r="I9" s="6"/>
      <c r="J9" s="6"/>
    </row>
    <row r="10" spans="1:19" ht="12.75" x14ac:dyDescent="0.2">
      <c r="C10" s="6"/>
      <c r="D10" s="6"/>
      <c r="E10" s="6"/>
      <c r="F10" s="6"/>
      <c r="G10" s="6"/>
      <c r="H10" s="6"/>
      <c r="I10" s="6"/>
      <c r="J10" s="6"/>
    </row>
    <row r="11" spans="1:19" ht="15" x14ac:dyDescent="0.25">
      <c r="C11" s="6"/>
      <c r="D11" s="6"/>
      <c r="E11" s="6"/>
      <c r="F11" s="6"/>
      <c r="G11" s="6"/>
      <c r="H11" s="6"/>
      <c r="I11" s="6"/>
      <c r="J11" s="6"/>
      <c r="S11" s="41"/>
    </row>
    <row r="12" spans="1:19" ht="12.75" x14ac:dyDescent="0.2">
      <c r="C12" s="6"/>
      <c r="D12" s="6"/>
      <c r="E12" s="6"/>
      <c r="F12" s="6"/>
      <c r="G12" s="6"/>
      <c r="H12" s="6"/>
      <c r="I12" s="6"/>
      <c r="J12" s="6"/>
    </row>
    <row r="13" spans="1:19" ht="12.75" x14ac:dyDescent="0.2">
      <c r="C13" s="6"/>
      <c r="D13" s="6"/>
      <c r="E13" s="6"/>
      <c r="F13" s="6"/>
      <c r="G13" s="6"/>
      <c r="H13" s="6"/>
      <c r="I13" s="6"/>
      <c r="J13" s="6"/>
    </row>
    <row r="14" spans="1:19" ht="12.75" x14ac:dyDescent="0.2">
      <c r="C14" s="7" t="s">
        <v>19</v>
      </c>
      <c r="D14" s="8"/>
      <c r="E14" s="6"/>
      <c r="F14" s="6"/>
      <c r="G14" s="6"/>
      <c r="H14" s="6"/>
      <c r="I14" s="6"/>
      <c r="J14" s="6"/>
    </row>
    <row r="15" spans="1:19" ht="12.75" x14ac:dyDescent="0.2">
      <c r="C15" s="8"/>
      <c r="D15" s="8"/>
      <c r="E15" s="6"/>
      <c r="F15" s="6"/>
      <c r="G15" s="6"/>
      <c r="H15" s="6"/>
      <c r="I15" s="6"/>
      <c r="J15" s="6"/>
    </row>
    <row r="16" spans="1:19" ht="12.75" x14ac:dyDescent="0.2">
      <c r="C16" s="7" t="s">
        <v>20</v>
      </c>
      <c r="D16" s="8"/>
      <c r="E16" s="6"/>
      <c r="F16" s="6"/>
      <c r="G16" s="6"/>
      <c r="H16" s="6"/>
      <c r="I16" s="6"/>
      <c r="J16" s="6"/>
    </row>
    <row r="17" spans="3:10" ht="12.75" x14ac:dyDescent="0.2">
      <c r="C17" s="177" t="s">
        <v>297</v>
      </c>
      <c r="D17" s="177"/>
      <c r="E17" s="177"/>
      <c r="F17" s="177"/>
      <c r="G17" s="177"/>
      <c r="H17" s="177"/>
      <c r="I17" s="177"/>
      <c r="J17" s="177"/>
    </row>
    <row r="18" spans="3:10" ht="12.75" x14ac:dyDescent="0.2">
      <c r="C18" s="177"/>
      <c r="D18" s="177"/>
      <c r="E18" s="177"/>
      <c r="F18" s="177"/>
      <c r="G18" s="177"/>
      <c r="H18" s="177"/>
      <c r="I18" s="177"/>
      <c r="J18" s="177"/>
    </row>
    <row r="19" spans="3:10" ht="12.75" x14ac:dyDescent="0.2">
      <c r="C19" s="9"/>
      <c r="D19" s="8"/>
      <c r="E19" s="6"/>
      <c r="F19" s="6"/>
      <c r="G19" s="6"/>
      <c r="H19" s="6"/>
      <c r="I19" s="6"/>
      <c r="J19" s="6"/>
    </row>
    <row r="20" spans="3:10" ht="12.75" x14ac:dyDescent="0.2">
      <c r="C20" s="9"/>
      <c r="D20" s="8"/>
      <c r="E20" s="6"/>
      <c r="F20" s="6"/>
      <c r="G20" s="6"/>
      <c r="H20" s="6"/>
      <c r="I20" s="6"/>
      <c r="J20" s="6"/>
    </row>
    <row r="21" spans="3:10" ht="12.75" x14ac:dyDescent="0.2">
      <c r="C21" s="9" t="s">
        <v>21</v>
      </c>
      <c r="D21" s="8"/>
      <c r="E21" s="6"/>
      <c r="F21" s="6"/>
      <c r="G21" s="178" t="s">
        <v>22</v>
      </c>
      <c r="H21" s="178"/>
      <c r="I21" s="178"/>
      <c r="J21" s="6"/>
    </row>
    <row r="22" spans="3:10" ht="12.75" x14ac:dyDescent="0.2">
      <c r="C22" s="9" t="s">
        <v>23</v>
      </c>
      <c r="D22" s="8"/>
      <c r="E22" s="6"/>
      <c r="F22" s="6"/>
      <c r="G22" s="178" t="s">
        <v>24</v>
      </c>
      <c r="H22" s="178"/>
      <c r="I22" s="178"/>
      <c r="J22" s="6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outlinePr summaryBelow="0" summaryRight="0"/>
  </sheetPr>
  <dimension ref="A1:P58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92" customWidth="1"/>
    <col min="6" max="6" width="27.85546875" style="92" customWidth="1"/>
    <col min="7" max="7" width="9.140625" style="92"/>
    <col min="8" max="8" width="1.7109375" style="92" customWidth="1"/>
    <col min="9" max="9" width="9.140625" style="92" customWidth="1"/>
    <col min="10" max="14" width="9.140625" style="92"/>
    <col min="15" max="15" width="3.7109375" style="92" customWidth="1"/>
    <col min="16" max="16" width="45.28515625" style="92" bestFit="1" customWidth="1"/>
    <col min="17" max="16384" width="9.140625" style="92"/>
  </cols>
  <sheetData>
    <row r="1" spans="1:15" ht="20.25" x14ac:dyDescent="0.3">
      <c r="A1" s="46" t="str">
        <f ca="1">IFERROR(RIGHT(CELL("filename",A1),LEN(CELL("filename",A1))-FIND("]",CELL("filename",A1))),"")</f>
        <v>Cash Flow Statement</v>
      </c>
    </row>
    <row r="2" spans="1:15" ht="18" x14ac:dyDescent="0.25">
      <c r="A2" s="74" t="str">
        <f ca="1">Model_Name</f>
        <v>Chapter 7.1 - SP Case Study Model vLB1.01.xlsx</v>
      </c>
    </row>
    <row r="3" spans="1:15" x14ac:dyDescent="0.2">
      <c r="A3" s="176" t="s">
        <v>1</v>
      </c>
      <c r="B3" s="125"/>
      <c r="C3" s="125"/>
      <c r="D3" s="125"/>
      <c r="E3" s="125"/>
    </row>
    <row r="4" spans="1:15" x14ac:dyDescent="0.2">
      <c r="A4" s="92" t="s">
        <v>2</v>
      </c>
      <c r="B4" s="125"/>
      <c r="C4" s="125"/>
      <c r="D4" s="125"/>
      <c r="E4" s="125"/>
      <c r="G4" s="96">
        <f ca="1">Overall_Error_Check</f>
        <v>0</v>
      </c>
    </row>
    <row r="5" spans="1:15" collapsed="1" x14ac:dyDescent="0.2">
      <c r="A5" s="122"/>
      <c r="B5" s="125"/>
      <c r="C5" s="125"/>
      <c r="D5" s="125"/>
      <c r="E5" s="125"/>
      <c r="G5" s="99"/>
      <c r="J5" s="40">
        <f>Timing!J5</f>
        <v>44377</v>
      </c>
      <c r="K5" s="40">
        <f>Timing!K5</f>
        <v>44742</v>
      </c>
      <c r="L5" s="40">
        <f>Timing!L5</f>
        <v>45107</v>
      </c>
      <c r="M5" s="40">
        <f>Timing!M5</f>
        <v>45473</v>
      </c>
      <c r="N5" s="40">
        <f>Timing!N5</f>
        <v>45838</v>
      </c>
    </row>
    <row r="6" spans="1:15" hidden="1" outlineLevel="1" x14ac:dyDescent="0.2">
      <c r="A6" s="122"/>
      <c r="B6" s="125"/>
      <c r="C6" s="92" t="str">
        <f>Timing!C6</f>
        <v>Start Date</v>
      </c>
      <c r="D6" s="125"/>
      <c r="E6" s="125"/>
      <c r="G6" s="99"/>
      <c r="J6" s="39">
        <f>Timing!J6</f>
        <v>44013</v>
      </c>
      <c r="K6" s="39">
        <f>Timing!K6</f>
        <v>44378</v>
      </c>
      <c r="L6" s="39">
        <f>Timing!L6</f>
        <v>44743</v>
      </c>
      <c r="M6" s="39">
        <f>Timing!M6</f>
        <v>45108</v>
      </c>
      <c r="N6" s="39">
        <f>Timing!N6</f>
        <v>45474</v>
      </c>
    </row>
    <row r="7" spans="1:15" hidden="1" outlineLevel="1" x14ac:dyDescent="0.2">
      <c r="A7" s="122"/>
      <c r="B7" s="125"/>
      <c r="C7" s="92" t="str">
        <f>Timing!C7</f>
        <v>End Date</v>
      </c>
      <c r="D7" s="125"/>
      <c r="E7" s="125"/>
      <c r="G7" s="99"/>
      <c r="H7" s="99"/>
      <c r="J7" s="39">
        <f>Timing!J7</f>
        <v>44377</v>
      </c>
      <c r="K7" s="39">
        <f>Timing!K7</f>
        <v>44742</v>
      </c>
      <c r="L7" s="39">
        <f>Timing!L7</f>
        <v>45107</v>
      </c>
      <c r="M7" s="39">
        <f>Timing!M7</f>
        <v>45473</v>
      </c>
      <c r="N7" s="39">
        <f>Timing!N7</f>
        <v>45838</v>
      </c>
    </row>
    <row r="8" spans="1:15" hidden="1" outlineLevel="1" x14ac:dyDescent="0.2">
      <c r="A8" s="122"/>
      <c r="B8" s="125"/>
      <c r="C8" s="92" t="str">
        <f>Timing!C8</f>
        <v>Number of Days</v>
      </c>
      <c r="D8" s="125"/>
      <c r="E8" s="125"/>
      <c r="G8" s="99"/>
      <c r="H8" s="99"/>
      <c r="J8" s="35">
        <f>Timing!J8</f>
        <v>365</v>
      </c>
      <c r="K8" s="35">
        <f>Timing!K8</f>
        <v>365</v>
      </c>
      <c r="L8" s="35">
        <f>Timing!L8</f>
        <v>365</v>
      </c>
      <c r="M8" s="35">
        <f>Timing!M8</f>
        <v>366</v>
      </c>
      <c r="N8" s="35">
        <f>Timing!N8</f>
        <v>365</v>
      </c>
    </row>
    <row r="9" spans="1:15" hidden="1" outlineLevel="1" x14ac:dyDescent="0.2">
      <c r="A9" s="122"/>
      <c r="B9" s="125"/>
      <c r="C9" s="92" t="str">
        <f>Timing!C9</f>
        <v>Counter</v>
      </c>
      <c r="D9" s="125"/>
      <c r="E9" s="125"/>
      <c r="G9" s="99"/>
      <c r="H9" s="99"/>
      <c r="J9" s="35">
        <f>Timing!J9</f>
        <v>1</v>
      </c>
      <c r="K9" s="35">
        <f>Timing!K9</f>
        <v>2</v>
      </c>
      <c r="L9" s="35">
        <f>Timing!L9</f>
        <v>3</v>
      </c>
      <c r="M9" s="35">
        <f>Timing!M9</f>
        <v>4</v>
      </c>
      <c r="N9" s="35">
        <f>Timing!N9</f>
        <v>5</v>
      </c>
    </row>
    <row r="11" spans="1:15" ht="16.5" thickBot="1" x14ac:dyDescent="0.3">
      <c r="B11" s="48">
        <f>MAX($B$9:$B10)+1</f>
        <v>1</v>
      </c>
      <c r="C11" s="3" t="str">
        <f ca="1">A1</f>
        <v>Cash Flow Statement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/>
    <row r="13" spans="1:15" ht="16.5" x14ac:dyDescent="0.25">
      <c r="C13" s="63" t="str">
        <f ca="1">"Direct "&amp;C11</f>
        <v>Direct Cash Flow Statement</v>
      </c>
    </row>
    <row r="15" spans="1:15" x14ac:dyDescent="0.2">
      <c r="D15" s="152" t="s">
        <v>270</v>
      </c>
    </row>
    <row r="16" spans="1:15" x14ac:dyDescent="0.2">
      <c r="D16" s="152"/>
      <c r="E16" s="92" t="s">
        <v>271</v>
      </c>
      <c r="G16" s="103" t="str">
        <f t="shared" ref="G16:G22" si="0">Currency</f>
        <v>US$'000</v>
      </c>
      <c r="H16" s="103"/>
      <c r="J16" s="135">
        <f>-Calculations!J33</f>
        <v>384.24657534246575</v>
      </c>
      <c r="K16" s="135">
        <f>-Calculations!K33</f>
        <v>440.10958904109594</v>
      </c>
      <c r="L16" s="135">
        <f>-Calculations!L33</f>
        <v>485.43561643835631</v>
      </c>
      <c r="M16" s="135">
        <f>-Calculations!M33</f>
        <v>525.98238311250861</v>
      </c>
      <c r="N16" s="135">
        <f>-Calculations!N33</f>
        <v>554.22171551762881</v>
      </c>
    </row>
    <row r="17" spans="4:14" x14ac:dyDescent="0.2">
      <c r="D17" s="152"/>
      <c r="E17" s="157"/>
      <c r="F17" s="92" t="s">
        <v>272</v>
      </c>
      <c r="G17" s="103" t="str">
        <f t="shared" si="0"/>
        <v>US$'000</v>
      </c>
      <c r="H17" s="103"/>
      <c r="J17" s="135">
        <f>Calculations!J59</f>
        <v>-120.41095890410959</v>
      </c>
      <c r="K17" s="135">
        <f>Calculations!K59</f>
        <v>-130.84931506849318</v>
      </c>
      <c r="L17" s="135">
        <f>Calculations!L59</f>
        <v>-144.52602739726032</v>
      </c>
      <c r="M17" s="135">
        <f>Calculations!M59</f>
        <v>-156.85847240062884</v>
      </c>
      <c r="N17" s="135">
        <f>Calculations!N59</f>
        <v>-165.57449198293295</v>
      </c>
    </row>
    <row r="18" spans="4:14" x14ac:dyDescent="0.2">
      <c r="D18" s="152"/>
      <c r="E18" s="157"/>
      <c r="F18" s="92" t="s">
        <v>273</v>
      </c>
      <c r="G18" s="103" t="str">
        <f t="shared" si="0"/>
        <v>US$'000</v>
      </c>
      <c r="H18" s="103"/>
      <c r="J18" s="135">
        <f>Calculations!J88</f>
        <v>-60</v>
      </c>
      <c r="K18" s="135">
        <f>Calculations!K88</f>
        <v>-65</v>
      </c>
      <c r="L18" s="135">
        <f>Calculations!L88</f>
        <v>-67.600000000000009</v>
      </c>
      <c r="M18" s="135">
        <f>Calculations!M88</f>
        <v>-69.628000000000014</v>
      </c>
      <c r="N18" s="135">
        <f>Calculations!N88</f>
        <v>-71.020560000000017</v>
      </c>
    </row>
    <row r="19" spans="4:14" x14ac:dyDescent="0.2">
      <c r="D19" s="152"/>
      <c r="E19" s="92" t="s">
        <v>172</v>
      </c>
      <c r="G19" s="103" t="str">
        <f t="shared" si="0"/>
        <v>US$'000</v>
      </c>
      <c r="H19" s="103"/>
      <c r="J19" s="158">
        <f>SUM(J17:J18)</f>
        <v>-180.41095890410958</v>
      </c>
      <c r="K19" s="158">
        <f t="shared" ref="K19:N19" si="1">SUM(K17:K18)</f>
        <v>-195.84931506849318</v>
      </c>
      <c r="L19" s="158">
        <f t="shared" si="1"/>
        <v>-212.12602739726032</v>
      </c>
      <c r="M19" s="158">
        <f t="shared" si="1"/>
        <v>-226.48647240062886</v>
      </c>
      <c r="N19" s="158">
        <f t="shared" si="1"/>
        <v>-236.59505198293297</v>
      </c>
    </row>
    <row r="20" spans="4:14" x14ac:dyDescent="0.2">
      <c r="D20" s="152"/>
      <c r="E20" s="92" t="s">
        <v>157</v>
      </c>
      <c r="G20" s="103" t="str">
        <f t="shared" si="0"/>
        <v>US$'000</v>
      </c>
      <c r="H20" s="103"/>
      <c r="J20" s="135">
        <f>Calculations!J156</f>
        <v>-20</v>
      </c>
      <c r="K20" s="135">
        <f>Calculations!K156</f>
        <v>-9</v>
      </c>
      <c r="L20" s="135">
        <f>Calculations!L156</f>
        <v>-11.05</v>
      </c>
      <c r="M20" s="135">
        <f>Calculations!M156</f>
        <v>-13.3</v>
      </c>
      <c r="N20" s="135">
        <f>Calculations!N156</f>
        <v>-13.125</v>
      </c>
    </row>
    <row r="21" spans="4:14" x14ac:dyDescent="0.2">
      <c r="D21" s="152"/>
      <c r="E21" s="92" t="s">
        <v>215</v>
      </c>
      <c r="G21" s="103" t="str">
        <f t="shared" si="0"/>
        <v>US$'000</v>
      </c>
      <c r="H21" s="103"/>
      <c r="J21" s="135">
        <f ca="1">Calculations!J280</f>
        <v>-40</v>
      </c>
      <c r="K21" s="135">
        <f ca="1">Calculations!K280</f>
        <v>0</v>
      </c>
      <c r="L21" s="135">
        <f ca="1">Calculations!L280</f>
        <v>0</v>
      </c>
      <c r="M21" s="135">
        <f ca="1">Calculations!M280</f>
        <v>0</v>
      </c>
      <c r="N21" s="135">
        <f ca="1">Calculations!N280</f>
        <v>0</v>
      </c>
    </row>
    <row r="22" spans="4:14" x14ac:dyDescent="0.2">
      <c r="D22" s="152"/>
      <c r="E22" s="66" t="str">
        <f>"Net "&amp;D15</f>
        <v>Net Operating Cash Flow</v>
      </c>
      <c r="G22" s="103" t="str">
        <f t="shared" si="0"/>
        <v>US$'000</v>
      </c>
      <c r="H22" s="103"/>
      <c r="J22" s="142">
        <f ca="1">SUM(J16,J19:J21)</f>
        <v>143.83561643835617</v>
      </c>
      <c r="K22" s="142">
        <f t="shared" ref="K22:N22" ca="1" si="2">SUM(K16,K19:K21)</f>
        <v>235.26027397260276</v>
      </c>
      <c r="L22" s="142">
        <f t="shared" ca="1" si="2"/>
        <v>262.25958904109598</v>
      </c>
      <c r="M22" s="142">
        <f t="shared" ca="1" si="2"/>
        <v>286.19591071187978</v>
      </c>
      <c r="N22" s="142">
        <f t="shared" ca="1" si="2"/>
        <v>304.50166353469581</v>
      </c>
    </row>
    <row r="23" spans="4:14" x14ac:dyDescent="0.2">
      <c r="D23" s="152"/>
      <c r="J23" s="135"/>
      <c r="K23" s="135"/>
      <c r="L23" s="135"/>
      <c r="M23" s="135"/>
      <c r="N23" s="135"/>
    </row>
    <row r="24" spans="4:14" x14ac:dyDescent="0.2">
      <c r="D24" s="152" t="s">
        <v>274</v>
      </c>
      <c r="J24" s="135"/>
      <c r="K24" s="135"/>
      <c r="L24" s="135"/>
      <c r="M24" s="135"/>
      <c r="N24" s="135"/>
    </row>
    <row r="25" spans="4:14" x14ac:dyDescent="0.2">
      <c r="D25" s="152"/>
      <c r="E25" s="92" t="s">
        <v>275</v>
      </c>
      <c r="G25" s="103" t="str">
        <f>Currency</f>
        <v>US$'000</v>
      </c>
      <c r="H25" s="103"/>
      <c r="J25" s="135">
        <f>-Calculations!J176</f>
        <v>0</v>
      </c>
      <c r="K25" s="135">
        <f ca="1">-Calculations!K176</f>
        <v>2.5782017884513606</v>
      </c>
      <c r="L25" s="135">
        <f ca="1">-Calculations!L176</f>
        <v>3.0807467212059012</v>
      </c>
      <c r="M25" s="135">
        <f ca="1">-Calculations!M176</f>
        <v>4.0773354039262681</v>
      </c>
      <c r="N25" s="135">
        <f ca="1">-Calculations!N176</f>
        <v>5.44922897748358</v>
      </c>
    </row>
    <row r="26" spans="4:14" x14ac:dyDescent="0.2">
      <c r="D26" s="152"/>
      <c r="E26" s="92" t="s">
        <v>276</v>
      </c>
      <c r="G26" s="103" t="str">
        <f>Currency</f>
        <v>US$'000</v>
      </c>
      <c r="H26" s="103"/>
      <c r="J26" s="135">
        <f>-Calculations!J119</f>
        <v>-150</v>
      </c>
      <c r="K26" s="135">
        <f>-Calculations!K119</f>
        <v>-180</v>
      </c>
      <c r="L26" s="135">
        <f>-Calculations!L119</f>
        <v>-120</v>
      </c>
      <c r="M26" s="135">
        <f>-Calculations!M119</f>
        <v>-90</v>
      </c>
      <c r="N26" s="135">
        <f>-Calculations!N119</f>
        <v>-100</v>
      </c>
    </row>
    <row r="27" spans="4:14" x14ac:dyDescent="0.2">
      <c r="D27" s="152"/>
      <c r="E27" s="66" t="str">
        <f>"Net "&amp;D24</f>
        <v>Net Investing Cash Flows</v>
      </c>
      <c r="G27" s="103" t="str">
        <f>Currency</f>
        <v>US$'000</v>
      </c>
      <c r="H27" s="103"/>
      <c r="J27" s="142">
        <f>SUM(J25:J26)</f>
        <v>-150</v>
      </c>
      <c r="K27" s="142">
        <f t="shared" ref="K27:N27" ca="1" si="3">SUM(K25:K26)</f>
        <v>-177.42179821154863</v>
      </c>
      <c r="L27" s="142">
        <f t="shared" ca="1" si="3"/>
        <v>-116.9192532787941</v>
      </c>
      <c r="M27" s="142">
        <f t="shared" ca="1" si="3"/>
        <v>-85.92266459607373</v>
      </c>
      <c r="N27" s="142">
        <f t="shared" ca="1" si="3"/>
        <v>-94.550771022516415</v>
      </c>
    </row>
    <row r="28" spans="4:14" x14ac:dyDescent="0.2">
      <c r="D28" s="152"/>
      <c r="J28" s="135"/>
      <c r="K28" s="135"/>
      <c r="L28" s="135"/>
      <c r="M28" s="135"/>
      <c r="N28" s="135"/>
    </row>
    <row r="29" spans="4:14" x14ac:dyDescent="0.2">
      <c r="D29" s="152" t="s">
        <v>277</v>
      </c>
      <c r="J29" s="135"/>
      <c r="K29" s="135"/>
      <c r="L29" s="135"/>
      <c r="M29" s="135"/>
      <c r="N29" s="135"/>
    </row>
    <row r="30" spans="4:14" x14ac:dyDescent="0.2">
      <c r="D30" s="152"/>
      <c r="E30" s="92" t="s">
        <v>186</v>
      </c>
      <c r="G30" s="103" t="str">
        <f t="shared" ref="G30:G35" si="4">Currency</f>
        <v>US$'000</v>
      </c>
      <c r="H30" s="103"/>
      <c r="J30" s="135">
        <f>Calculations!J136</f>
        <v>20</v>
      </c>
      <c r="K30" s="135">
        <f>Calculations!K136</f>
        <v>20</v>
      </c>
      <c r="L30" s="135">
        <f>Calculations!L136</f>
        <v>0</v>
      </c>
      <c r="M30" s="135">
        <f>Calculations!M136</f>
        <v>0</v>
      </c>
      <c r="N30" s="135">
        <f>Calculations!N136</f>
        <v>0</v>
      </c>
    </row>
    <row r="31" spans="4:14" x14ac:dyDescent="0.2">
      <c r="D31" s="152"/>
      <c r="E31" s="92" t="s">
        <v>187</v>
      </c>
      <c r="G31" s="103" t="str">
        <f t="shared" si="4"/>
        <v>US$'000</v>
      </c>
      <c r="H31" s="103"/>
      <c r="J31" s="135">
        <f>Calculations!J137</f>
        <v>0</v>
      </c>
      <c r="K31" s="135">
        <f>Calculations!K137</f>
        <v>0</v>
      </c>
      <c r="L31" s="135">
        <f>Calculations!L137</f>
        <v>-15</v>
      </c>
      <c r="M31" s="135">
        <f>Calculations!M137</f>
        <v>-25</v>
      </c>
      <c r="N31" s="135">
        <f>Calculations!N137</f>
        <v>-10</v>
      </c>
    </row>
    <row r="32" spans="4:14" x14ac:dyDescent="0.2">
      <c r="D32" s="152"/>
      <c r="E32" s="92" t="s">
        <v>278</v>
      </c>
      <c r="G32" s="103" t="str">
        <f t="shared" si="4"/>
        <v>US$'000</v>
      </c>
      <c r="H32" s="103"/>
      <c r="J32" s="135">
        <f>Calculations!J296</f>
        <v>15</v>
      </c>
      <c r="K32" s="135">
        <f>Calculations!K296</f>
        <v>25</v>
      </c>
      <c r="L32" s="135">
        <f>Calculations!L296</f>
        <v>0</v>
      </c>
      <c r="M32" s="135">
        <f>Calculations!M296</f>
        <v>10</v>
      </c>
      <c r="N32" s="135">
        <f>Calculations!N296</f>
        <v>0</v>
      </c>
    </row>
    <row r="33" spans="3:16" x14ac:dyDescent="0.2">
      <c r="D33" s="152"/>
      <c r="E33" s="92" t="s">
        <v>279</v>
      </c>
      <c r="G33" s="103" t="str">
        <f t="shared" si="4"/>
        <v>US$'000</v>
      </c>
      <c r="H33" s="103"/>
      <c r="J33" s="135">
        <f>Calculations!J297</f>
        <v>0</v>
      </c>
      <c r="K33" s="135">
        <f>Calculations!K297</f>
        <v>0</v>
      </c>
      <c r="L33" s="135">
        <f>Calculations!L297</f>
        <v>-5</v>
      </c>
      <c r="M33" s="135">
        <f>Calculations!M297</f>
        <v>-5</v>
      </c>
      <c r="N33" s="135">
        <f>Calculations!N297</f>
        <v>-20</v>
      </c>
    </row>
    <row r="34" spans="3:16" x14ac:dyDescent="0.2">
      <c r="D34" s="152"/>
      <c r="E34" s="92" t="s">
        <v>234</v>
      </c>
      <c r="G34" s="103" t="str">
        <f t="shared" si="4"/>
        <v>US$'000</v>
      </c>
      <c r="H34" s="103"/>
      <c r="J34" s="135">
        <f>Calculations!J321</f>
        <v>-15</v>
      </c>
      <c r="K34" s="135">
        <f ca="1">Calculations!K321</f>
        <v>-13.93868531297899</v>
      </c>
      <c r="L34" s="135">
        <f ca="1">Calculations!L321</f>
        <v>-15.117456811453245</v>
      </c>
      <c r="M34" s="135">
        <f ca="1">Calculations!M321</f>
        <v>-16.081147173961956</v>
      </c>
      <c r="N34" s="135">
        <f ca="1">Calculations!N321</f>
        <v>-19.070848113695416</v>
      </c>
    </row>
    <row r="35" spans="3:16" x14ac:dyDescent="0.2">
      <c r="D35" s="152"/>
      <c r="E35" s="66" t="str">
        <f>"Net "&amp;D29</f>
        <v>Net Financing Cash Flows</v>
      </c>
      <c r="G35" s="103" t="str">
        <f t="shared" si="4"/>
        <v>US$'000</v>
      </c>
      <c r="H35" s="103"/>
      <c r="J35" s="142">
        <f>SUM(J30:J34)</f>
        <v>20</v>
      </c>
      <c r="K35" s="142">
        <f t="shared" ref="K35:N35" ca="1" si="5">SUM(K30:K34)</f>
        <v>31.06131468702101</v>
      </c>
      <c r="L35" s="142">
        <f t="shared" ca="1" si="5"/>
        <v>-35.117456811453245</v>
      </c>
      <c r="M35" s="142">
        <f t="shared" ca="1" si="5"/>
        <v>-36.081147173961952</v>
      </c>
      <c r="N35" s="142">
        <f t="shared" ca="1" si="5"/>
        <v>-49.070848113695419</v>
      </c>
    </row>
    <row r="36" spans="3:16" x14ac:dyDescent="0.2">
      <c r="D36" s="152"/>
      <c r="J36" s="135"/>
      <c r="K36" s="135"/>
      <c r="L36" s="135"/>
      <c r="M36" s="135"/>
      <c r="N36" s="135"/>
    </row>
    <row r="37" spans="3:16" ht="12.75" thickBot="1" x14ac:dyDescent="0.25">
      <c r="D37" s="66" t="s">
        <v>280</v>
      </c>
      <c r="G37" s="103" t="str">
        <f>Currency</f>
        <v>US$'000</v>
      </c>
      <c r="H37" s="103"/>
      <c r="J37" s="156">
        <f ca="1">J22+J27+J35</f>
        <v>13.835616438356169</v>
      </c>
      <c r="K37" s="156">
        <f t="shared" ref="K37:N37" ca="1" si="6">K22+K27+K35</f>
        <v>88.899790448075137</v>
      </c>
      <c r="L37" s="156">
        <f t="shared" ca="1" si="6"/>
        <v>110.22287895084864</v>
      </c>
      <c r="M37" s="156">
        <f t="shared" ca="1" si="6"/>
        <v>164.19209894184411</v>
      </c>
      <c r="N37" s="156">
        <f t="shared" ca="1" si="6"/>
        <v>160.88004439848396</v>
      </c>
    </row>
    <row r="38" spans="3:16" ht="12.75" thickTop="1" x14ac:dyDescent="0.2">
      <c r="C38" s="152"/>
      <c r="J38" s="135"/>
      <c r="K38" s="135"/>
      <c r="L38" s="135"/>
      <c r="M38" s="135"/>
      <c r="N38" s="135"/>
    </row>
    <row r="39" spans="3:16" x14ac:dyDescent="0.2">
      <c r="C39" s="152"/>
      <c r="J39" s="135"/>
      <c r="K39" s="135"/>
      <c r="L39" s="135"/>
      <c r="M39" s="135"/>
      <c r="N39" s="135"/>
    </row>
    <row r="40" spans="3:16" ht="16.5" x14ac:dyDescent="0.25">
      <c r="C40" s="63" t="s">
        <v>281</v>
      </c>
      <c r="G40" s="103" t="str">
        <f>Currency</f>
        <v>US$'000</v>
      </c>
      <c r="H40" s="103"/>
      <c r="J40" s="135"/>
      <c r="K40" s="135"/>
      <c r="L40" s="135"/>
      <c r="M40" s="135"/>
      <c r="N40" s="135"/>
    </row>
    <row r="41" spans="3:16" x14ac:dyDescent="0.2">
      <c r="C41" s="152"/>
      <c r="J41" s="135"/>
      <c r="K41" s="135"/>
      <c r="L41" s="135"/>
      <c r="M41" s="135"/>
      <c r="N41" s="135"/>
    </row>
    <row r="42" spans="3:16" x14ac:dyDescent="0.2">
      <c r="D42" s="66" t="s">
        <v>270</v>
      </c>
      <c r="J42" s="135"/>
      <c r="K42" s="135"/>
      <c r="L42" s="135"/>
      <c r="M42" s="135"/>
      <c r="N42" s="135"/>
    </row>
    <row r="43" spans="3:16" x14ac:dyDescent="0.2">
      <c r="E43" s="92" t="str">
        <f>'Income Statement'!D27</f>
        <v>NPAT</v>
      </c>
      <c r="G43" s="103" t="str">
        <f>Currency</f>
        <v>US$'000</v>
      </c>
      <c r="H43" s="103"/>
      <c r="J43" s="135">
        <f ca="1">'Income Statement'!J27</f>
        <v>55.754741251915959</v>
      </c>
      <c r="K43" s="135">
        <f ca="1">'Income Statement'!K27</f>
        <v>50.391522704844149</v>
      </c>
      <c r="L43" s="135">
        <f ca="1">'Income Statement'!L27</f>
        <v>45.946134782748445</v>
      </c>
      <c r="M43" s="135">
        <f ca="1">'Income Statement'!M27</f>
        <v>47.677120284238526</v>
      </c>
      <c r="N43" s="135">
        <f ca="1">'Income Statement'!N27</f>
        <v>64.416246413876024</v>
      </c>
      <c r="P43" s="19"/>
    </row>
    <row r="44" spans="3:16" x14ac:dyDescent="0.2">
      <c r="E44" s="92" t="s">
        <v>282</v>
      </c>
      <c r="G44" s="103" t="str">
        <f>Currency</f>
        <v>US$'000</v>
      </c>
      <c r="H44" s="103"/>
      <c r="J44" s="135"/>
      <c r="K44" s="135"/>
      <c r="L44" s="135"/>
      <c r="M44" s="135"/>
      <c r="N44" s="135"/>
      <c r="P44" s="19"/>
    </row>
    <row r="45" spans="3:16" x14ac:dyDescent="0.2">
      <c r="E45" s="157"/>
      <c r="F45" s="92" t="str">
        <f>'Income Statement'!D20</f>
        <v>Depreciation</v>
      </c>
      <c r="G45" s="103" t="str">
        <f>Currency</f>
        <v>US$'000</v>
      </c>
      <c r="H45" s="103"/>
      <c r="J45" s="135">
        <f ca="1">-'Income Statement'!J20</f>
        <v>127.5</v>
      </c>
      <c r="K45" s="135">
        <f ca="1">-'Income Statement'!K20</f>
        <v>172.5</v>
      </c>
      <c r="L45" s="135">
        <f ca="1">-'Income Statement'!L20</f>
        <v>202.5</v>
      </c>
      <c r="M45" s="135">
        <f ca="1">-'Income Statement'!M20</f>
        <v>225</v>
      </c>
      <c r="N45" s="135">
        <f ca="1">-'Income Statement'!N20</f>
        <v>212.5</v>
      </c>
      <c r="P45" s="19"/>
    </row>
    <row r="46" spans="3:16" x14ac:dyDescent="0.2">
      <c r="E46" s="157"/>
      <c r="F46" s="92" t="str">
        <f>'Income Statement'!D23</f>
        <v>Interest Expense</v>
      </c>
      <c r="G46" s="103" t="str">
        <f>Currency</f>
        <v>US$'000</v>
      </c>
      <c r="H46" s="103"/>
      <c r="J46" s="135">
        <f ca="1">-'Income Statement'!J23</f>
        <v>6.4217982115486389</v>
      </c>
      <c r="K46" s="135">
        <f ca="1">-'Income Statement'!K23</f>
        <v>7.9692532787940991</v>
      </c>
      <c r="L46" s="135">
        <f ca="1">-'Income Statement'!L23</f>
        <v>9.2226645960737326</v>
      </c>
      <c r="M46" s="135">
        <f ca="1">-'Income Statement'!M23</f>
        <v>7.6757710225164191</v>
      </c>
      <c r="N46" s="135">
        <f ca="1">-'Income Statement'!N23</f>
        <v>4.9265851230343785</v>
      </c>
      <c r="P46" s="19"/>
    </row>
    <row r="47" spans="3:16" x14ac:dyDescent="0.2">
      <c r="E47" s="157"/>
      <c r="F47" s="92" t="str">
        <f>'Income Statement'!D26</f>
        <v>Tax Expense</v>
      </c>
      <c r="G47" s="103" t="str">
        <f>Currency</f>
        <v>US$'000</v>
      </c>
      <c r="H47" s="103"/>
      <c r="J47" s="135">
        <f ca="1">-'Income Statement'!J26</f>
        <v>30.323460536535407</v>
      </c>
      <c r="K47" s="135">
        <f ca="1">-'Income Statement'!K26</f>
        <v>17.739224016361778</v>
      </c>
      <c r="L47" s="135">
        <f ca="1">-'Income Statement'!L26</f>
        <v>19.691200621177902</v>
      </c>
      <c r="M47" s="135">
        <f ca="1">-'Income Statement'!M26</f>
        <v>22.575908693245083</v>
      </c>
      <c r="N47" s="135">
        <f ca="1">-'Income Statement'!N26</f>
        <v>38.321248463089724</v>
      </c>
      <c r="P47" s="19"/>
    </row>
    <row r="48" spans="3:16" x14ac:dyDescent="0.2">
      <c r="E48" s="92" t="s">
        <v>283</v>
      </c>
      <c r="J48" s="135"/>
      <c r="K48" s="135"/>
      <c r="L48" s="135"/>
      <c r="M48" s="135"/>
      <c r="N48" s="135"/>
      <c r="P48" s="19"/>
    </row>
    <row r="49" spans="4:16" x14ac:dyDescent="0.2">
      <c r="E49" s="157"/>
      <c r="F49" s="92" t="s">
        <v>284</v>
      </c>
      <c r="G49" s="103" t="str">
        <f>Currency</f>
        <v>US$'000</v>
      </c>
      <c r="H49" s="103"/>
      <c r="J49" s="135">
        <f>-SUM(Calculations!J32:J33,Calculations!J331:J332)</f>
        <v>-15.753424657534254</v>
      </c>
      <c r="K49" s="135">
        <f>-SUM(Calculations!K32:K33,Calculations!K331:K332)</f>
        <v>-7.8904109589041127</v>
      </c>
      <c r="L49" s="135">
        <f>-SUM(Calculations!L32:L33,Calculations!L331:L332)</f>
        <v>-7.3643835616438196</v>
      </c>
      <c r="M49" s="135">
        <f>-SUM(Calculations!M32:M33,Calculations!M331:M332)</f>
        <v>-6.2416168874915456</v>
      </c>
      <c r="N49" s="135">
        <f>-SUM(Calculations!N32:N33,Calculations!N331:N332)</f>
        <v>-4.6134844823714047</v>
      </c>
      <c r="P49" s="19"/>
    </row>
    <row r="50" spans="4:16" x14ac:dyDescent="0.2">
      <c r="E50" s="157"/>
      <c r="F50" s="92" t="s">
        <v>285</v>
      </c>
      <c r="G50" s="103" t="str">
        <f>Currency</f>
        <v>US$'000</v>
      </c>
      <c r="H50" s="103"/>
      <c r="J50" s="135">
        <f>SUM(Calculations!J58:J59,Calculations!J87:J88,Calculations!J342:J343)</f>
        <v>-0.41095890410959157</v>
      </c>
      <c r="K50" s="135">
        <f>SUM(Calculations!K58:K59,Calculations!K87:K88,Calculations!K342:K343)</f>
        <v>3.5506849315068507</v>
      </c>
      <c r="L50" s="135">
        <f>SUM(Calculations!L58:L59,Calculations!L87:L88,Calculations!L342:L343)</f>
        <v>3.3139726027397103</v>
      </c>
      <c r="M50" s="135">
        <f>SUM(Calculations!M58:M59,Calculations!M87:M88,Calculations!M342:M343)</f>
        <v>2.8087275993712524</v>
      </c>
      <c r="N50" s="135">
        <f>SUM(Calculations!N58:N59,Calculations!N87:N88,Calculations!N342:N343)</f>
        <v>2.0760680170671435</v>
      </c>
      <c r="P50" s="19"/>
    </row>
    <row r="51" spans="4:16" x14ac:dyDescent="0.2">
      <c r="E51" s="92" t="s">
        <v>286</v>
      </c>
      <c r="J51" s="135"/>
      <c r="K51" s="135"/>
      <c r="L51" s="135"/>
      <c r="M51" s="135"/>
      <c r="N51" s="135"/>
      <c r="P51" s="19"/>
    </row>
    <row r="52" spans="4:16" x14ac:dyDescent="0.2">
      <c r="E52" s="157"/>
      <c r="F52" s="92" t="str">
        <f>E20</f>
        <v>Interest Paid</v>
      </c>
      <c r="G52" s="103" t="str">
        <f>Currency</f>
        <v>US$'000</v>
      </c>
      <c r="H52" s="103"/>
      <c r="J52" s="135">
        <f>J20</f>
        <v>-20</v>
      </c>
      <c r="K52" s="135">
        <f t="shared" ref="K52:N52" si="7">K20</f>
        <v>-9</v>
      </c>
      <c r="L52" s="135">
        <f t="shared" si="7"/>
        <v>-11.05</v>
      </c>
      <c r="M52" s="135">
        <f t="shared" si="7"/>
        <v>-13.3</v>
      </c>
      <c r="N52" s="135">
        <f t="shared" si="7"/>
        <v>-13.125</v>
      </c>
      <c r="P52" s="19"/>
    </row>
    <row r="53" spans="4:16" x14ac:dyDescent="0.2">
      <c r="E53" s="157"/>
      <c r="F53" s="92" t="str">
        <f>E21</f>
        <v>Tax Paid</v>
      </c>
      <c r="G53" s="103" t="str">
        <f>Currency</f>
        <v>US$'000</v>
      </c>
      <c r="H53" s="103"/>
      <c r="J53" s="135">
        <f ca="1">J21</f>
        <v>-40</v>
      </c>
      <c r="K53" s="135">
        <f t="shared" ref="K53:N53" ca="1" si="8">K21</f>
        <v>0</v>
      </c>
      <c r="L53" s="135">
        <f t="shared" ca="1" si="8"/>
        <v>0</v>
      </c>
      <c r="M53" s="135">
        <f t="shared" ca="1" si="8"/>
        <v>0</v>
      </c>
      <c r="N53" s="135">
        <f t="shared" ca="1" si="8"/>
        <v>0</v>
      </c>
      <c r="P53" s="19"/>
    </row>
    <row r="54" spans="4:16" x14ac:dyDescent="0.2">
      <c r="D54" s="66" t="str">
        <f>"Net "&amp;D42</f>
        <v>Net Operating Cash Flow</v>
      </c>
      <c r="G54" s="103" t="str">
        <f>Currency</f>
        <v>US$'000</v>
      </c>
      <c r="H54" s="103"/>
      <c r="J54" s="142">
        <f ca="1">SUM(J43,J45:J47,J49:J50,J52:J53)</f>
        <v>143.83561643835617</v>
      </c>
      <c r="K54" s="142">
        <f t="shared" ref="K54:N54" ca="1" si="9">SUM(K43,K45:K47,K49:K50,K52:K53)</f>
        <v>235.26027397260276</v>
      </c>
      <c r="L54" s="142">
        <f t="shared" ca="1" si="9"/>
        <v>262.25958904109604</v>
      </c>
      <c r="M54" s="142">
        <f t="shared" ca="1" si="9"/>
        <v>286.19591071187972</v>
      </c>
      <c r="N54" s="142">
        <f t="shared" ca="1" si="9"/>
        <v>304.50166353469587</v>
      </c>
      <c r="P54" s="19"/>
    </row>
    <row r="55" spans="4:16" x14ac:dyDescent="0.2">
      <c r="G55" s="103"/>
      <c r="P55" s="19"/>
    </row>
    <row r="56" spans="4:16" x14ac:dyDescent="0.2">
      <c r="P56" s="19"/>
    </row>
    <row r="57" spans="4:16" x14ac:dyDescent="0.2">
      <c r="E57" s="92" t="str">
        <f>'Balance Sheet'!D55</f>
        <v>PF Error Check</v>
      </c>
      <c r="G57" s="103" t="str">
        <f>Boolean</f>
        <v>[1,0]</v>
      </c>
      <c r="I57" s="96">
        <f ca="1">MIN(SUM($J57:$N57),1)</f>
        <v>0</v>
      </c>
      <c r="J57" s="153">
        <f ca="1">IF(ISERROR(J37+J54),1,)</f>
        <v>0</v>
      </c>
      <c r="K57" s="153">
        <f t="shared" ref="K57:N57" ca="1" si="10">IF(ISERROR(K37+K54),1,)</f>
        <v>0</v>
      </c>
      <c r="L57" s="153">
        <f t="shared" ca="1" si="10"/>
        <v>0</v>
      </c>
      <c r="M57" s="153">
        <f t="shared" ca="1" si="10"/>
        <v>0</v>
      </c>
      <c r="N57" s="153">
        <f t="shared" ca="1" si="10"/>
        <v>0</v>
      </c>
      <c r="P57" s="19" t="str">
        <f t="shared" ref="P57:P58" ca="1" si="11">_xlfn.FORMULATEXT(J57)</f>
        <v>=IF(ISERROR(J37+J54),1,)</v>
      </c>
    </row>
    <row r="58" spans="4:16" x14ac:dyDescent="0.2">
      <c r="E58" s="92" t="s">
        <v>324</v>
      </c>
      <c r="G58" s="103" t="str">
        <f>Boolean</f>
        <v>[1,0]</v>
      </c>
      <c r="I58" s="96">
        <f ca="1">MIN(SUM($J58:$N58),1)</f>
        <v>0</v>
      </c>
      <c r="J58" s="153">
        <f ca="1">IF(J57&lt;&gt;0,0,(ROUND(J22-J54,Rounding_Accuracy)&lt;&gt;0)*1)</f>
        <v>0</v>
      </c>
      <c r="K58" s="153">
        <f ca="1">IF(K57&lt;&gt;0,0,(ROUND(K22-K54,Rounding_Accuracy)&lt;&gt;0)*1)</f>
        <v>0</v>
      </c>
      <c r="L58" s="153">
        <f ca="1">IF(L57&lt;&gt;0,0,(ROUND(L22-L54,Rounding_Accuracy)&lt;&gt;0)*1)</f>
        <v>0</v>
      </c>
      <c r="M58" s="153">
        <f ca="1">IF(M57&lt;&gt;0,0,(ROUND(M22-M54,Rounding_Accuracy)&lt;&gt;0)*1)</f>
        <v>0</v>
      </c>
      <c r="N58" s="153">
        <f ca="1">IF(N57&lt;&gt;0,0,(ROUND(N22-N54,Rounding_Accuracy)&lt;&gt;0)*1)</f>
        <v>0</v>
      </c>
      <c r="P58" s="19" t="str">
        <f t="shared" ca="1" si="11"/>
        <v>=IF(J57&lt;&gt;0,0,(ROUND(J22-J54,Rounding_Accuracy)&lt;&gt;0)*1)</v>
      </c>
    </row>
  </sheetData>
  <conditionalFormatting sqref="G10 G4">
    <cfRule type="cellIs" dxfId="12" priority="3" operator="notEqual">
      <formula>0</formula>
    </cfRule>
  </conditionalFormatting>
  <conditionalFormatting sqref="J57:N58">
    <cfRule type="cellIs" dxfId="11" priority="2" operator="notEqual">
      <formula>0</formula>
    </cfRule>
  </conditionalFormatting>
  <conditionalFormatting sqref="I57:I58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900-000000000000}"/>
    <hyperlink ref="A3" location="HL_Navigator" display="Navigator" xr:uid="{00000000-0004-0000-0900-000001000000}"/>
    <hyperlink ref="G4" location="Overall_Error_Check" tooltip="Go to Overall Error Check" display="Overall_Error_Check" xr:uid="{00000000-0004-0000-0900-000002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AB3D-DFE7-4123-AE63-D1185C6167FE}">
  <sheetPr codeName="Sheet15">
    <outlinePr summaryBelow="0" summaryRight="0"/>
  </sheetPr>
  <dimension ref="A1:O36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92" customWidth="1"/>
    <col min="6" max="6" width="27.85546875" style="92" customWidth="1"/>
    <col min="7" max="7" width="9.140625" style="92"/>
    <col min="8" max="8" width="1.7109375" style="92" customWidth="1"/>
    <col min="9" max="9" width="9.140625" style="92" customWidth="1"/>
    <col min="10" max="14" width="9.140625" style="92"/>
    <col min="15" max="15" width="3.7109375" style="92" customWidth="1"/>
    <col min="16" max="16384" width="9.140625" style="92"/>
  </cols>
  <sheetData>
    <row r="1" spans="1:15" ht="20.25" x14ac:dyDescent="0.3">
      <c r="A1" s="46" t="s">
        <v>352</v>
      </c>
    </row>
    <row r="2" spans="1:15" ht="18" x14ac:dyDescent="0.25">
      <c r="A2" s="74" t="str">
        <f ca="1">Model_Name</f>
        <v>Chapter 7.1 - SP Case Study Model vLB1.01.xlsx</v>
      </c>
    </row>
    <row r="3" spans="1:15" x14ac:dyDescent="0.2">
      <c r="A3" s="176" t="s">
        <v>1</v>
      </c>
      <c r="B3" s="125"/>
      <c r="C3" s="125"/>
      <c r="D3" s="125"/>
      <c r="E3" s="125"/>
    </row>
    <row r="4" spans="1:15" x14ac:dyDescent="0.2">
      <c r="A4" s="92" t="s">
        <v>2</v>
      </c>
      <c r="B4" s="125"/>
      <c r="C4" s="125"/>
      <c r="D4" s="125"/>
      <c r="E4" s="125"/>
      <c r="G4" s="96">
        <f ca="1">Overall_Error_Check</f>
        <v>0</v>
      </c>
    </row>
    <row r="5" spans="1:15" collapsed="1" x14ac:dyDescent="0.2">
      <c r="A5" s="168"/>
      <c r="B5" s="125"/>
      <c r="C5" s="125"/>
      <c r="D5" s="125"/>
      <c r="E5" s="125"/>
      <c r="G5" s="99"/>
      <c r="J5" s="40">
        <f>Timing!J5</f>
        <v>44377</v>
      </c>
      <c r="K5" s="40">
        <f>Timing!K5</f>
        <v>44742</v>
      </c>
      <c r="L5" s="40">
        <f>Timing!L5</f>
        <v>45107</v>
      </c>
      <c r="M5" s="40">
        <f>Timing!M5</f>
        <v>45473</v>
      </c>
      <c r="N5" s="40">
        <f>Timing!N5</f>
        <v>45838</v>
      </c>
    </row>
    <row r="6" spans="1:15" hidden="1" outlineLevel="1" x14ac:dyDescent="0.2">
      <c r="A6" s="168"/>
      <c r="B6" s="125"/>
      <c r="C6" s="92" t="str">
        <f>Timing!C6</f>
        <v>Start Date</v>
      </c>
      <c r="D6" s="125"/>
      <c r="E6" s="125"/>
      <c r="G6" s="99"/>
      <c r="J6" s="39">
        <f>Timing!J6</f>
        <v>44013</v>
      </c>
      <c r="K6" s="39">
        <f>Timing!K6</f>
        <v>44378</v>
      </c>
      <c r="L6" s="39">
        <f>Timing!L6</f>
        <v>44743</v>
      </c>
      <c r="M6" s="39">
        <f>Timing!M6</f>
        <v>45108</v>
      </c>
      <c r="N6" s="39">
        <f>Timing!N6</f>
        <v>45474</v>
      </c>
    </row>
    <row r="7" spans="1:15" hidden="1" outlineLevel="1" x14ac:dyDescent="0.2">
      <c r="A7" s="168"/>
      <c r="B7" s="125"/>
      <c r="C7" s="92" t="str">
        <f>Timing!C7</f>
        <v>End Date</v>
      </c>
      <c r="D7" s="125"/>
      <c r="E7" s="125"/>
      <c r="G7" s="99"/>
      <c r="H7" s="99"/>
      <c r="J7" s="39">
        <f>Timing!J7</f>
        <v>44377</v>
      </c>
      <c r="K7" s="39">
        <f>Timing!K7</f>
        <v>44742</v>
      </c>
      <c r="L7" s="39">
        <f>Timing!L7</f>
        <v>45107</v>
      </c>
      <c r="M7" s="39">
        <f>Timing!M7</f>
        <v>45473</v>
      </c>
      <c r="N7" s="39">
        <f>Timing!N7</f>
        <v>45838</v>
      </c>
    </row>
    <row r="8" spans="1:15" hidden="1" outlineLevel="1" x14ac:dyDescent="0.2">
      <c r="A8" s="168"/>
      <c r="B8" s="125"/>
      <c r="C8" s="92" t="str">
        <f>Timing!C8</f>
        <v>Number of Days</v>
      </c>
      <c r="D8" s="125"/>
      <c r="E8" s="125"/>
      <c r="G8" s="99"/>
      <c r="H8" s="99"/>
      <c r="J8" s="35">
        <f>Timing!J8</f>
        <v>365</v>
      </c>
      <c r="K8" s="35">
        <f>Timing!K8</f>
        <v>365</v>
      </c>
      <c r="L8" s="35">
        <f>Timing!L8</f>
        <v>365</v>
      </c>
      <c r="M8" s="35">
        <f>Timing!M8</f>
        <v>366</v>
      </c>
      <c r="N8" s="35">
        <f>Timing!N8</f>
        <v>365</v>
      </c>
    </row>
    <row r="9" spans="1:15" hidden="1" outlineLevel="1" x14ac:dyDescent="0.2">
      <c r="A9" s="168"/>
      <c r="B9" s="125"/>
      <c r="C9" s="92" t="str">
        <f>Timing!C9</f>
        <v>Counter</v>
      </c>
      <c r="D9" s="125"/>
      <c r="E9" s="125"/>
      <c r="G9" s="99"/>
      <c r="H9" s="99"/>
      <c r="J9" s="35">
        <f>Timing!J9</f>
        <v>1</v>
      </c>
      <c r="K9" s="35">
        <f>Timing!K9</f>
        <v>2</v>
      </c>
      <c r="L9" s="35">
        <f>Timing!L9</f>
        <v>3</v>
      </c>
      <c r="M9" s="35">
        <f>Timing!M9</f>
        <v>4</v>
      </c>
      <c r="N9" s="35">
        <f>Timing!N9</f>
        <v>5</v>
      </c>
    </row>
    <row r="11" spans="1:15" ht="16.5" thickBot="1" x14ac:dyDescent="0.3">
      <c r="B11" s="48">
        <f>MAX($B$9:$B10)+1</f>
        <v>1</v>
      </c>
      <c r="C11" s="3" t="str">
        <f>A1</f>
        <v>Free Cash Flow to the Firm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/>
    <row r="13" spans="1:15" ht="16.5" x14ac:dyDescent="0.25">
      <c r="C13" s="63" t="str">
        <f>C11</f>
        <v>Free Cash Flow to the Firm</v>
      </c>
    </row>
    <row r="15" spans="1:15" x14ac:dyDescent="0.2">
      <c r="D15" s="152" t="s">
        <v>270</v>
      </c>
    </row>
    <row r="16" spans="1:15" x14ac:dyDescent="0.2">
      <c r="D16" s="152"/>
      <c r="E16" s="92" t="s">
        <v>271</v>
      </c>
      <c r="G16" s="103" t="str">
        <f t="shared" ref="G16:G21" si="0">Currency</f>
        <v>US$'000</v>
      </c>
      <c r="H16" s="103"/>
      <c r="J16" s="135">
        <f>-Calculations!J33</f>
        <v>384.24657534246575</v>
      </c>
      <c r="K16" s="135">
        <f>-Calculations!K33</f>
        <v>440.10958904109594</v>
      </c>
      <c r="L16" s="135">
        <f>-Calculations!L33</f>
        <v>485.43561643835631</v>
      </c>
      <c r="M16" s="135">
        <f>-Calculations!M33</f>
        <v>525.98238311250861</v>
      </c>
      <c r="N16" s="135">
        <f>-Calculations!N33</f>
        <v>554.22171551762881</v>
      </c>
    </row>
    <row r="17" spans="3:14" x14ac:dyDescent="0.2">
      <c r="D17" s="152"/>
      <c r="E17" s="157"/>
      <c r="F17" s="92" t="s">
        <v>272</v>
      </c>
      <c r="G17" s="103" t="str">
        <f t="shared" si="0"/>
        <v>US$'000</v>
      </c>
      <c r="H17" s="103"/>
      <c r="J17" s="135">
        <f>Calculations!J59</f>
        <v>-120.41095890410959</v>
      </c>
      <c r="K17" s="135">
        <f>Calculations!K59</f>
        <v>-130.84931506849318</v>
      </c>
      <c r="L17" s="135">
        <f>Calculations!L59</f>
        <v>-144.52602739726032</v>
      </c>
      <c r="M17" s="135">
        <f>Calculations!M59</f>
        <v>-156.85847240062884</v>
      </c>
      <c r="N17" s="135">
        <f>Calculations!N59</f>
        <v>-165.57449198293295</v>
      </c>
    </row>
    <row r="18" spans="3:14" x14ac:dyDescent="0.2">
      <c r="D18" s="152"/>
      <c r="E18" s="157"/>
      <c r="F18" s="92" t="s">
        <v>273</v>
      </c>
      <c r="G18" s="103" t="str">
        <f t="shared" si="0"/>
        <v>US$'000</v>
      </c>
      <c r="H18" s="103"/>
      <c r="J18" s="135">
        <f>Calculations!J88</f>
        <v>-60</v>
      </c>
      <c r="K18" s="135">
        <f>Calculations!K88</f>
        <v>-65</v>
      </c>
      <c r="L18" s="135">
        <f>Calculations!L88</f>
        <v>-67.600000000000009</v>
      </c>
      <c r="M18" s="135">
        <f>Calculations!M88</f>
        <v>-69.628000000000014</v>
      </c>
      <c r="N18" s="135">
        <f>Calculations!N88</f>
        <v>-71.020560000000017</v>
      </c>
    </row>
    <row r="19" spans="3:14" x14ac:dyDescent="0.2">
      <c r="D19" s="152"/>
      <c r="E19" s="92" t="s">
        <v>172</v>
      </c>
      <c r="G19" s="103" t="str">
        <f t="shared" si="0"/>
        <v>US$'000</v>
      </c>
      <c r="H19" s="103"/>
      <c r="J19" s="158">
        <f>SUM(J17:J18)</f>
        <v>-180.41095890410958</v>
      </c>
      <c r="K19" s="158">
        <f t="shared" ref="K19:N19" si="1">SUM(K17:K18)</f>
        <v>-195.84931506849318</v>
      </c>
      <c r="L19" s="158">
        <f t="shared" si="1"/>
        <v>-212.12602739726032</v>
      </c>
      <c r="M19" s="158">
        <f t="shared" si="1"/>
        <v>-226.48647240062886</v>
      </c>
      <c r="N19" s="158">
        <f t="shared" si="1"/>
        <v>-236.59505198293297</v>
      </c>
    </row>
    <row r="20" spans="3:14" x14ac:dyDescent="0.2">
      <c r="D20" s="152"/>
      <c r="E20" s="92" t="s">
        <v>354</v>
      </c>
      <c r="G20" s="103" t="str">
        <f t="shared" si="0"/>
        <v>US$'000</v>
      </c>
      <c r="H20" s="103"/>
      <c r="J20" s="135">
        <f ca="1">Calculations!J280</f>
        <v>-40</v>
      </c>
      <c r="K20" s="135">
        <f ca="1">Calculations!K280</f>
        <v>0</v>
      </c>
      <c r="L20" s="135">
        <f ca="1">Calculations!L280</f>
        <v>0</v>
      </c>
      <c r="M20" s="135">
        <f ca="1">Calculations!M280</f>
        <v>0</v>
      </c>
      <c r="N20" s="135">
        <f ca="1">Calculations!N280</f>
        <v>0</v>
      </c>
    </row>
    <row r="21" spans="3:14" x14ac:dyDescent="0.2">
      <c r="D21" s="152"/>
      <c r="E21" s="66" t="str">
        <f>"Net "&amp;D15</f>
        <v>Net Operating Cash Flow</v>
      </c>
      <c r="G21" s="103" t="str">
        <f t="shared" si="0"/>
        <v>US$'000</v>
      </c>
      <c r="H21" s="103"/>
      <c r="J21" s="142">
        <f ca="1">SUM(J16,J19:J20)</f>
        <v>163.83561643835617</v>
      </c>
      <c r="K21" s="142">
        <f ca="1">SUM(K16,K19:K20)</f>
        <v>244.26027397260276</v>
      </c>
      <c r="L21" s="142">
        <f ca="1">SUM(L16,L19:L20)</f>
        <v>273.30958904109599</v>
      </c>
      <c r="M21" s="142">
        <f ca="1">SUM(M16,M19:M20)</f>
        <v>299.49591071187979</v>
      </c>
      <c r="N21" s="142">
        <f ca="1">SUM(N16,N19:N20)</f>
        <v>317.62666353469581</v>
      </c>
    </row>
    <row r="22" spans="3:14" x14ac:dyDescent="0.2">
      <c r="D22" s="152"/>
      <c r="J22" s="135"/>
      <c r="K22" s="135"/>
      <c r="L22" s="135"/>
      <c r="M22" s="135"/>
      <c r="N22" s="135"/>
    </row>
    <row r="23" spans="3:14" x14ac:dyDescent="0.2">
      <c r="D23" s="152" t="s">
        <v>274</v>
      </c>
      <c r="J23" s="135"/>
      <c r="K23" s="135"/>
      <c r="L23" s="135"/>
      <c r="M23" s="135"/>
      <c r="N23" s="135"/>
    </row>
    <row r="24" spans="3:14" x14ac:dyDescent="0.2">
      <c r="D24" s="152"/>
      <c r="E24" s="92" t="s">
        <v>276</v>
      </c>
      <c r="G24" s="103" t="str">
        <f>Currency</f>
        <v>US$'000</v>
      </c>
      <c r="H24" s="103"/>
      <c r="J24" s="135">
        <f>-Calculations!J119</f>
        <v>-150</v>
      </c>
      <c r="K24" s="135">
        <f>-Calculations!K119</f>
        <v>-180</v>
      </c>
      <c r="L24" s="135">
        <f>-Calculations!L119</f>
        <v>-120</v>
      </c>
      <c r="M24" s="135">
        <f>-Calculations!M119</f>
        <v>-90</v>
      </c>
      <c r="N24" s="135">
        <f>-Calculations!N119</f>
        <v>-100</v>
      </c>
    </row>
    <row r="25" spans="3:14" x14ac:dyDescent="0.2">
      <c r="D25" s="152"/>
      <c r="E25" s="66" t="str">
        <f>"Net "&amp;D23</f>
        <v>Net Investing Cash Flows</v>
      </c>
      <c r="G25" s="103" t="str">
        <f>Currency</f>
        <v>US$'000</v>
      </c>
      <c r="H25" s="103"/>
      <c r="J25" s="142">
        <f>SUM(J24:J24)</f>
        <v>-150</v>
      </c>
      <c r="K25" s="142">
        <f>SUM(K24:K24)</f>
        <v>-180</v>
      </c>
      <c r="L25" s="142">
        <f>SUM(L24:L24)</f>
        <v>-120</v>
      </c>
      <c r="M25" s="142">
        <f>SUM(M24:M24)</f>
        <v>-90</v>
      </c>
      <c r="N25" s="142">
        <f>SUM(N24:N24)</f>
        <v>-100</v>
      </c>
    </row>
    <row r="26" spans="3:14" x14ac:dyDescent="0.2">
      <c r="D26" s="152"/>
      <c r="J26" s="135"/>
      <c r="K26" s="135"/>
      <c r="L26" s="135"/>
      <c r="M26" s="135"/>
      <c r="N26" s="135"/>
    </row>
    <row r="27" spans="3:14" ht="12.75" thickBot="1" x14ac:dyDescent="0.25">
      <c r="D27" s="66" t="str">
        <f>C13</f>
        <v>Free Cash Flow to the Firm</v>
      </c>
      <c r="G27" s="103" t="str">
        <f>Currency</f>
        <v>US$'000</v>
      </c>
      <c r="H27" s="103"/>
      <c r="J27" s="156">
        <f ca="1">J21+J25</f>
        <v>13.835616438356169</v>
      </c>
      <c r="K27" s="156">
        <f ca="1">K21+K25</f>
        <v>64.260273972602761</v>
      </c>
      <c r="L27" s="156">
        <f ca="1">L21+L25</f>
        <v>153.30958904109599</v>
      </c>
      <c r="M27" s="156">
        <f ca="1">M21+M25</f>
        <v>209.49591071187979</v>
      </c>
      <c r="N27" s="156">
        <f ca="1">N21+N25</f>
        <v>217.62666353469581</v>
      </c>
    </row>
    <row r="28" spans="3:14" ht="12.75" thickTop="1" x14ac:dyDescent="0.2">
      <c r="C28" s="152"/>
      <c r="J28" s="135"/>
      <c r="K28" s="135"/>
      <c r="L28" s="135"/>
      <c r="M28" s="135"/>
      <c r="N28" s="135"/>
    </row>
    <row r="29" spans="3:14" x14ac:dyDescent="0.2">
      <c r="E29" s="92" t="s">
        <v>355</v>
      </c>
      <c r="G29" s="103" t="str">
        <f>Percentage</f>
        <v>%</v>
      </c>
      <c r="I29" s="172">
        <v>0.1</v>
      </c>
    </row>
    <row r="31" spans="3:14" x14ac:dyDescent="0.2">
      <c r="D31" s="92" t="s">
        <v>356</v>
      </c>
      <c r="G31" s="103" t="str">
        <f>Currency</f>
        <v>US$'000</v>
      </c>
      <c r="J31" s="173">
        <f>(1+$I$29)^-J9</f>
        <v>0.90909090909090906</v>
      </c>
      <c r="K31" s="173">
        <f t="shared" ref="K31:N31" si="2">(1+$I$29)^-K9</f>
        <v>0.82644628099173545</v>
      </c>
      <c r="L31" s="173">
        <f t="shared" si="2"/>
        <v>0.75131480090157754</v>
      </c>
      <c r="M31" s="173">
        <f t="shared" si="2"/>
        <v>0.68301345536507052</v>
      </c>
      <c r="N31" s="173">
        <f t="shared" si="2"/>
        <v>0.62092132305915493</v>
      </c>
    </row>
    <row r="33" spans="4:14" x14ac:dyDescent="0.2">
      <c r="D33" s="66" t="s">
        <v>357</v>
      </c>
      <c r="G33" s="103" t="str">
        <f>Currency</f>
        <v>US$'000</v>
      </c>
      <c r="J33" s="142">
        <f ca="1">J27*J31</f>
        <v>12.577833125778335</v>
      </c>
      <c r="K33" s="142">
        <f t="shared" ref="K33:N33" ca="1" si="3">K27*K31</f>
        <v>53.107664440167568</v>
      </c>
      <c r="L33" s="142">
        <f t="shared" ca="1" si="3"/>
        <v>115.18376336671371</v>
      </c>
      <c r="M33" s="142">
        <f t="shared" ca="1" si="3"/>
        <v>143.08852586017329</v>
      </c>
      <c r="N33" s="142">
        <f t="shared" ca="1" si="3"/>
        <v>135.12903585491287</v>
      </c>
    </row>
    <row r="35" spans="4:14" ht="12.75" thickBot="1" x14ac:dyDescent="0.25">
      <c r="D35" s="66" t="s">
        <v>358</v>
      </c>
      <c r="G35" s="103" t="str">
        <f>Currency</f>
        <v>US$'000</v>
      </c>
      <c r="I35" s="156">
        <f ca="1">SUM(J33:N33)</f>
        <v>459.08682264774575</v>
      </c>
    </row>
    <row r="36" spans="4:14" ht="12.75" thickTop="1" x14ac:dyDescent="0.2"/>
  </sheetData>
  <conditionalFormatting sqref="G10 G4">
    <cfRule type="cellIs" dxfId="9" priority="3" operator="notEqual">
      <formula>0</formula>
    </cfRule>
  </conditionalFormatting>
  <hyperlinks>
    <hyperlink ref="A3:E3" location="HL_Navigator" tooltip="Go to Navigator (Table of Contents)" display="Navigator" xr:uid="{AC20E915-205A-4C27-8EFD-BA3456AC1A1C}"/>
    <hyperlink ref="A3" location="HL_Navigator" display="Navigator" xr:uid="{5AFDA224-7930-482C-80A1-259AC1D5BF5A}"/>
    <hyperlink ref="G4" location="Overall_Error_Check" tooltip="Go to Overall Error Check" display="Overall_Error_Check" xr:uid="{35358A3D-C27C-4CF0-958C-425393C3126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1878-9937-4076-B41B-230757336755}">
  <sheetPr codeName="Sheet17">
    <outlinePr summaryBelow="0" summaryRight="0"/>
  </sheetPr>
  <dimension ref="A1:S39"/>
  <sheetViews>
    <sheetView zoomScaleNormal="100" workbookViewId="0">
      <pane ySplit="12" topLeftCell="A13" activePane="bottomLeft" state="frozen"/>
      <selection pane="bottomLeft" activeCell="A13" sqref="A13"/>
    </sheetView>
  </sheetViews>
  <sheetFormatPr defaultRowHeight="12" outlineLevelRow="1" x14ac:dyDescent="0.2"/>
  <cols>
    <col min="1" max="5" width="3.7109375" style="92" customWidth="1"/>
    <col min="6" max="6" width="27.85546875" style="92" customWidth="1"/>
    <col min="7" max="7" width="9.140625" style="92"/>
    <col min="8" max="8" width="1.7109375" style="92" customWidth="1"/>
    <col min="9" max="9" width="9.140625" style="92" customWidth="1"/>
    <col min="10" max="14" width="9.140625" style="92"/>
    <col min="15" max="15" width="3.7109375" style="92" customWidth="1"/>
    <col min="20" max="16384" width="9.140625" style="92"/>
  </cols>
  <sheetData>
    <row r="1" spans="1:15" ht="20.25" x14ac:dyDescent="0.3">
      <c r="A1" s="46" t="s">
        <v>352</v>
      </c>
    </row>
    <row r="2" spans="1:15" ht="18" x14ac:dyDescent="0.25">
      <c r="A2" s="74" t="str">
        <f ca="1">Model_Name</f>
        <v>Chapter 7.1 - SP Case Study Model vLB1.01.xlsx</v>
      </c>
    </row>
    <row r="3" spans="1:15" x14ac:dyDescent="0.2">
      <c r="A3" s="176" t="s">
        <v>1</v>
      </c>
      <c r="B3" s="125"/>
      <c r="C3" s="125"/>
      <c r="D3" s="125"/>
      <c r="E3" s="125"/>
    </row>
    <row r="4" spans="1:15" x14ac:dyDescent="0.2">
      <c r="A4" s="92" t="s">
        <v>2</v>
      </c>
      <c r="B4" s="125"/>
      <c r="C4" s="125"/>
      <c r="D4" s="125"/>
      <c r="E4" s="125"/>
      <c r="G4" s="96">
        <f ca="1">Overall_Error_Check</f>
        <v>0</v>
      </c>
    </row>
    <row r="5" spans="1:15" collapsed="1" x14ac:dyDescent="0.2">
      <c r="A5" s="169"/>
      <c r="B5" s="125"/>
      <c r="C5" s="125"/>
      <c r="D5" s="125"/>
      <c r="E5" s="125"/>
      <c r="G5" s="99"/>
      <c r="J5" s="40">
        <f>Timing!J5</f>
        <v>44377</v>
      </c>
      <c r="K5" s="40">
        <f>Timing!K5</f>
        <v>44742</v>
      </c>
      <c r="L5" s="40">
        <f>Timing!L5</f>
        <v>45107</v>
      </c>
      <c r="M5" s="40">
        <f>Timing!M5</f>
        <v>45473</v>
      </c>
      <c r="N5" s="40">
        <f>Timing!N5</f>
        <v>45838</v>
      </c>
    </row>
    <row r="6" spans="1:15" hidden="1" outlineLevel="1" x14ac:dyDescent="0.2">
      <c r="A6" s="169"/>
      <c r="B6" s="125"/>
      <c r="C6" s="92" t="str">
        <f>Timing!C6</f>
        <v>Start Date</v>
      </c>
      <c r="D6" s="125"/>
      <c r="E6" s="125"/>
      <c r="G6" s="99"/>
      <c r="J6" s="39">
        <v>44075</v>
      </c>
      <c r="K6" s="39">
        <f>Timing!K6</f>
        <v>44378</v>
      </c>
      <c r="L6" s="39">
        <f>Timing!L6</f>
        <v>44743</v>
      </c>
      <c r="M6" s="39">
        <f>Timing!M6</f>
        <v>45108</v>
      </c>
      <c r="N6" s="39">
        <f>Timing!N6</f>
        <v>45474</v>
      </c>
    </row>
    <row r="7" spans="1:15" hidden="1" outlineLevel="1" x14ac:dyDescent="0.2">
      <c r="A7" s="169"/>
      <c r="B7" s="125"/>
      <c r="C7" s="92" t="str">
        <f>Timing!C7</f>
        <v>End Date</v>
      </c>
      <c r="D7" s="125"/>
      <c r="E7" s="125"/>
      <c r="G7" s="99"/>
      <c r="H7" s="99"/>
      <c r="J7" s="39">
        <f>Timing!J7</f>
        <v>44377</v>
      </c>
      <c r="K7" s="39">
        <f>Timing!K7</f>
        <v>44742</v>
      </c>
      <c r="L7" s="39">
        <f>Timing!L7</f>
        <v>45107</v>
      </c>
      <c r="M7" s="39">
        <f>Timing!M7</f>
        <v>45473</v>
      </c>
      <c r="N7" s="39">
        <v>45825</v>
      </c>
    </row>
    <row r="8" spans="1:15" hidden="1" outlineLevel="1" x14ac:dyDescent="0.2">
      <c r="A8" s="169"/>
      <c r="B8" s="125"/>
      <c r="C8" s="92" t="str">
        <f>Timing!C8</f>
        <v>Number of Days</v>
      </c>
      <c r="D8" s="125"/>
      <c r="E8" s="125"/>
      <c r="G8" s="99"/>
      <c r="H8" s="99"/>
      <c r="J8" s="35">
        <f>J$7-J$6+1</f>
        <v>303</v>
      </c>
      <c r="K8" s="35">
        <f t="shared" ref="K8:N8" si="0">K$7-K$6+1</f>
        <v>365</v>
      </c>
      <c r="L8" s="35">
        <f t="shared" si="0"/>
        <v>365</v>
      </c>
      <c r="M8" s="35">
        <f t="shared" si="0"/>
        <v>366</v>
      </c>
      <c r="N8" s="35">
        <f t="shared" si="0"/>
        <v>352</v>
      </c>
    </row>
    <row r="9" spans="1:15" hidden="1" outlineLevel="1" x14ac:dyDescent="0.2">
      <c r="A9" s="169"/>
      <c r="B9" s="125"/>
      <c r="C9" s="92" t="s">
        <v>359</v>
      </c>
      <c r="D9" s="125"/>
      <c r="E9" s="125"/>
      <c r="G9" s="99"/>
      <c r="H9" s="99"/>
      <c r="J9" s="174">
        <f>J$8/2</f>
        <v>151.5</v>
      </c>
      <c r="K9" s="174">
        <f t="shared" ref="K9:N9" si="1">K$8/2</f>
        <v>182.5</v>
      </c>
      <c r="L9" s="174">
        <f t="shared" si="1"/>
        <v>182.5</v>
      </c>
      <c r="M9" s="174">
        <f t="shared" si="1"/>
        <v>183</v>
      </c>
      <c r="N9" s="174">
        <f t="shared" si="1"/>
        <v>176</v>
      </c>
    </row>
    <row r="10" spans="1:15" hidden="1" outlineLevel="1" x14ac:dyDescent="0.2">
      <c r="A10" s="169"/>
      <c r="B10" s="125"/>
      <c r="C10" s="92" t="s">
        <v>360</v>
      </c>
      <c r="D10" s="125"/>
      <c r="E10" s="125"/>
      <c r="G10" s="99"/>
      <c r="H10" s="99"/>
      <c r="J10" s="175">
        <f>SUM($I$8:I$8)+J$9</f>
        <v>151.5</v>
      </c>
      <c r="K10" s="175">
        <f>SUM($I$8:J$8)+K$9</f>
        <v>485.5</v>
      </c>
      <c r="L10" s="175">
        <f>SUM($I$8:K$8)+L$9</f>
        <v>850.5</v>
      </c>
      <c r="M10" s="175">
        <f>SUM($I$8:L$8)+M$9</f>
        <v>1216</v>
      </c>
      <c r="N10" s="175">
        <f>SUM($I$8:M$8)+N$9</f>
        <v>1575</v>
      </c>
    </row>
    <row r="11" spans="1:15" hidden="1" outlineLevel="1" x14ac:dyDescent="0.2">
      <c r="A11" s="169"/>
      <c r="B11" s="125"/>
      <c r="C11" s="92" t="s">
        <v>361</v>
      </c>
      <c r="D11" s="125"/>
      <c r="E11" s="125"/>
      <c r="G11" s="99"/>
      <c r="H11" s="99"/>
      <c r="J11" s="175">
        <f>J10/Days_in_Yr</f>
        <v>0.41506849315068495</v>
      </c>
      <c r="K11" s="175">
        <f>K10/Days_in_Yr</f>
        <v>1.3301369863013699</v>
      </c>
      <c r="L11" s="175">
        <f>L10/Days_in_Yr</f>
        <v>2.3301369863013699</v>
      </c>
      <c r="M11" s="175">
        <f>M10/Days_in_Yr</f>
        <v>3.3315068493150686</v>
      </c>
      <c r="N11" s="175">
        <f>N10/Days_in_Yr</f>
        <v>4.3150684931506849</v>
      </c>
    </row>
    <row r="12" spans="1:15" hidden="1" outlineLevel="1" x14ac:dyDescent="0.2">
      <c r="A12" s="169"/>
      <c r="B12" s="125"/>
      <c r="C12" s="92" t="str">
        <f>Timing!C9</f>
        <v>Counter</v>
      </c>
      <c r="D12" s="125"/>
      <c r="E12" s="125"/>
      <c r="G12" s="99"/>
      <c r="H12" s="99"/>
      <c r="J12" s="35">
        <f>Timing!J9</f>
        <v>1</v>
      </c>
      <c r="K12" s="35">
        <f>Timing!K9</f>
        <v>2</v>
      </c>
      <c r="L12" s="35">
        <f>Timing!L9</f>
        <v>3</v>
      </c>
      <c r="M12" s="35">
        <f>Timing!M9</f>
        <v>4</v>
      </c>
      <c r="N12" s="35">
        <f>Timing!N9</f>
        <v>5</v>
      </c>
    </row>
    <row r="14" spans="1:15" ht="16.5" thickBot="1" x14ac:dyDescent="0.3">
      <c r="B14" s="48">
        <f>MAX($B$12:$B13)+1</f>
        <v>1</v>
      </c>
      <c r="C14" s="3" t="str">
        <f>A1</f>
        <v>Free Cash Flow to the Firm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2.75" thickTop="1" x14ac:dyDescent="0.2"/>
    <row r="16" spans="1:15" ht="16.5" x14ac:dyDescent="0.25">
      <c r="C16" s="63" t="str">
        <f>C14</f>
        <v>Free Cash Flow to the Firm</v>
      </c>
    </row>
    <row r="18" spans="3:14" x14ac:dyDescent="0.2">
      <c r="D18" s="152" t="s">
        <v>270</v>
      </c>
    </row>
    <row r="19" spans="3:14" x14ac:dyDescent="0.2">
      <c r="D19" s="152"/>
      <c r="E19" s="92" t="s">
        <v>271</v>
      </c>
      <c r="G19" s="103" t="str">
        <f t="shared" ref="G19:G24" si="2">Currency</f>
        <v>US$'000</v>
      </c>
      <c r="H19" s="103"/>
      <c r="J19" s="135">
        <f>-Calculations!J33</f>
        <v>384.24657534246575</v>
      </c>
      <c r="K19" s="135">
        <f>-Calculations!K33</f>
        <v>440.10958904109594</v>
      </c>
      <c r="L19" s="135">
        <f>-Calculations!L33</f>
        <v>485.43561643835631</v>
      </c>
      <c r="M19" s="135">
        <f>-Calculations!M33</f>
        <v>525.98238311250861</v>
      </c>
      <c r="N19" s="135">
        <f>-Calculations!N33</f>
        <v>554.22171551762881</v>
      </c>
    </row>
    <row r="20" spans="3:14" x14ac:dyDescent="0.2">
      <c r="D20" s="152"/>
      <c r="E20" s="157"/>
      <c r="F20" s="92" t="s">
        <v>272</v>
      </c>
      <c r="G20" s="103" t="str">
        <f t="shared" si="2"/>
        <v>US$'000</v>
      </c>
      <c r="H20" s="103"/>
      <c r="J20" s="135">
        <f>Calculations!J59</f>
        <v>-120.41095890410959</v>
      </c>
      <c r="K20" s="135">
        <f>Calculations!K59</f>
        <v>-130.84931506849318</v>
      </c>
      <c r="L20" s="135">
        <f>Calculations!L59</f>
        <v>-144.52602739726032</v>
      </c>
      <c r="M20" s="135">
        <f>Calculations!M59</f>
        <v>-156.85847240062884</v>
      </c>
      <c r="N20" s="135">
        <f>Calculations!N59</f>
        <v>-165.57449198293295</v>
      </c>
    </row>
    <row r="21" spans="3:14" x14ac:dyDescent="0.2">
      <c r="D21" s="152"/>
      <c r="E21" s="157"/>
      <c r="F21" s="92" t="s">
        <v>273</v>
      </c>
      <c r="G21" s="103" t="str">
        <f t="shared" si="2"/>
        <v>US$'000</v>
      </c>
      <c r="H21" s="103"/>
      <c r="J21" s="135">
        <f>Calculations!J88</f>
        <v>-60</v>
      </c>
      <c r="K21" s="135">
        <f>Calculations!K88</f>
        <v>-65</v>
      </c>
      <c r="L21" s="135">
        <f>Calculations!L88</f>
        <v>-67.600000000000009</v>
      </c>
      <c r="M21" s="135">
        <f>Calculations!M88</f>
        <v>-69.628000000000014</v>
      </c>
      <c r="N21" s="135">
        <f>Calculations!N88</f>
        <v>-71.020560000000017</v>
      </c>
    </row>
    <row r="22" spans="3:14" x14ac:dyDescent="0.2">
      <c r="D22" s="152"/>
      <c r="E22" s="92" t="s">
        <v>172</v>
      </c>
      <c r="G22" s="103" t="str">
        <f t="shared" si="2"/>
        <v>US$'000</v>
      </c>
      <c r="H22" s="103"/>
      <c r="J22" s="158">
        <f>SUM(J20:J21)</f>
        <v>-180.41095890410958</v>
      </c>
      <c r="K22" s="158">
        <f t="shared" ref="K22:N22" si="3">SUM(K20:K21)</f>
        <v>-195.84931506849318</v>
      </c>
      <c r="L22" s="158">
        <f t="shared" si="3"/>
        <v>-212.12602739726032</v>
      </c>
      <c r="M22" s="158">
        <f t="shared" si="3"/>
        <v>-226.48647240062886</v>
      </c>
      <c r="N22" s="158">
        <f t="shared" si="3"/>
        <v>-236.59505198293297</v>
      </c>
    </row>
    <row r="23" spans="3:14" x14ac:dyDescent="0.2">
      <c r="D23" s="152"/>
      <c r="E23" s="92" t="s">
        <v>354</v>
      </c>
      <c r="G23" s="103" t="str">
        <f t="shared" si="2"/>
        <v>US$'000</v>
      </c>
      <c r="H23" s="103"/>
      <c r="J23" s="135">
        <f ca="1">Calculations!J280</f>
        <v>-40</v>
      </c>
      <c r="K23" s="135">
        <f ca="1">Calculations!K280</f>
        <v>0</v>
      </c>
      <c r="L23" s="135">
        <f ca="1">Calculations!L280</f>
        <v>0</v>
      </c>
      <c r="M23" s="135">
        <f ca="1">Calculations!M280</f>
        <v>0</v>
      </c>
      <c r="N23" s="135">
        <f ca="1">Calculations!N280</f>
        <v>0</v>
      </c>
    </row>
    <row r="24" spans="3:14" x14ac:dyDescent="0.2">
      <c r="D24" s="152"/>
      <c r="E24" s="66" t="str">
        <f>"Net "&amp;D18</f>
        <v>Net Operating Cash Flow</v>
      </c>
      <c r="G24" s="103" t="str">
        <f t="shared" si="2"/>
        <v>US$'000</v>
      </c>
      <c r="H24" s="103"/>
      <c r="J24" s="142">
        <f ca="1">SUM(J19,J22:J23)</f>
        <v>163.83561643835617</v>
      </c>
      <c r="K24" s="142">
        <f ca="1">SUM(K19,K22:K23)</f>
        <v>244.26027397260276</v>
      </c>
      <c r="L24" s="142">
        <f ca="1">SUM(L19,L22:L23)</f>
        <v>273.30958904109599</v>
      </c>
      <c r="M24" s="142">
        <f ca="1">SUM(M19,M22:M23)</f>
        <v>299.49591071187979</v>
      </c>
      <c r="N24" s="142">
        <f ca="1">SUM(N19,N22:N23)</f>
        <v>317.62666353469581</v>
      </c>
    </row>
    <row r="25" spans="3:14" x14ac:dyDescent="0.2">
      <c r="D25" s="152"/>
      <c r="J25" s="135"/>
      <c r="K25" s="135"/>
      <c r="L25" s="135"/>
      <c r="M25" s="135"/>
      <c r="N25" s="135"/>
    </row>
    <row r="26" spans="3:14" x14ac:dyDescent="0.2">
      <c r="D26" s="152" t="s">
        <v>274</v>
      </c>
      <c r="J26" s="135"/>
      <c r="K26" s="135"/>
      <c r="L26" s="135"/>
      <c r="M26" s="135"/>
      <c r="N26" s="135"/>
    </row>
    <row r="27" spans="3:14" x14ac:dyDescent="0.2">
      <c r="D27" s="152"/>
      <c r="E27" s="92" t="s">
        <v>276</v>
      </c>
      <c r="G27" s="103" t="str">
        <f>Currency</f>
        <v>US$'000</v>
      </c>
      <c r="H27" s="103"/>
      <c r="J27" s="135">
        <f>-Calculations!J119</f>
        <v>-150</v>
      </c>
      <c r="K27" s="135">
        <f>-Calculations!K119</f>
        <v>-180</v>
      </c>
      <c r="L27" s="135">
        <f>-Calculations!L119</f>
        <v>-120</v>
      </c>
      <c r="M27" s="135">
        <f>-Calculations!M119</f>
        <v>-90</v>
      </c>
      <c r="N27" s="135">
        <f>-Calculations!N119</f>
        <v>-100</v>
      </c>
    </row>
    <row r="28" spans="3:14" x14ac:dyDescent="0.2">
      <c r="D28" s="152"/>
      <c r="E28" s="66" t="str">
        <f>"Net "&amp;D26</f>
        <v>Net Investing Cash Flows</v>
      </c>
      <c r="G28" s="103" t="str">
        <f>Currency</f>
        <v>US$'000</v>
      </c>
      <c r="H28" s="103"/>
      <c r="J28" s="142">
        <f>SUM(J27:J27)</f>
        <v>-150</v>
      </c>
      <c r="K28" s="142">
        <f>SUM(K27:K27)</f>
        <v>-180</v>
      </c>
      <c r="L28" s="142">
        <f>SUM(L27:L27)</f>
        <v>-120</v>
      </c>
      <c r="M28" s="142">
        <f>SUM(M27:M27)</f>
        <v>-90</v>
      </c>
      <c r="N28" s="142">
        <f>SUM(N27:N27)</f>
        <v>-100</v>
      </c>
    </row>
    <row r="29" spans="3:14" x14ac:dyDescent="0.2">
      <c r="D29" s="152"/>
      <c r="J29" s="135"/>
      <c r="K29" s="135"/>
      <c r="L29" s="135"/>
      <c r="M29" s="135"/>
      <c r="N29" s="135"/>
    </row>
    <row r="30" spans="3:14" ht="12.75" thickBot="1" x14ac:dyDescent="0.25">
      <c r="D30" s="66" t="str">
        <f>C16</f>
        <v>Free Cash Flow to the Firm</v>
      </c>
      <c r="G30" s="103" t="str">
        <f>Currency</f>
        <v>US$'000</v>
      </c>
      <c r="H30" s="103"/>
      <c r="J30" s="156">
        <f ca="1">J24+J28</f>
        <v>13.835616438356169</v>
      </c>
      <c r="K30" s="156">
        <f ca="1">K24+K28</f>
        <v>64.260273972602761</v>
      </c>
      <c r="L30" s="156">
        <f ca="1">L24+L28</f>
        <v>153.30958904109599</v>
      </c>
      <c r="M30" s="156">
        <f ca="1">M24+M28</f>
        <v>209.49591071187979</v>
      </c>
      <c r="N30" s="156">
        <f ca="1">N24+N28</f>
        <v>217.62666353469581</v>
      </c>
    </row>
    <row r="31" spans="3:14" ht="12.75" thickTop="1" x14ac:dyDescent="0.2">
      <c r="C31" s="152"/>
      <c r="J31" s="135"/>
      <c r="K31" s="135"/>
      <c r="L31" s="135"/>
      <c r="M31" s="135"/>
      <c r="N31" s="135"/>
    </row>
    <row r="32" spans="3:14" x14ac:dyDescent="0.2">
      <c r="E32" s="92" t="s">
        <v>355</v>
      </c>
      <c r="G32" s="103" t="str">
        <f>Percentage</f>
        <v>%</v>
      </c>
      <c r="I32" s="172">
        <v>0.1</v>
      </c>
    </row>
    <row r="34" spans="4:14" x14ac:dyDescent="0.2">
      <c r="D34" s="92" t="s">
        <v>356</v>
      </c>
      <c r="G34" s="103" t="str">
        <f>Currency</f>
        <v>US$'000</v>
      </c>
      <c r="J34" s="173">
        <f>(1+$I$32)^-J11</f>
        <v>0.96121203661251164</v>
      </c>
      <c r="K34" s="173">
        <f t="shared" ref="K34:N34" si="4">(1+$I$32)^-K11</f>
        <v>0.88093133552481306</v>
      </c>
      <c r="L34" s="173">
        <f t="shared" si="4"/>
        <v>0.80084666865892096</v>
      </c>
      <c r="M34" s="173">
        <f t="shared" si="4"/>
        <v>0.72794737766329842</v>
      </c>
      <c r="N34" s="173">
        <f t="shared" si="4"/>
        <v>0.66280797981508865</v>
      </c>
    </row>
    <row r="36" spans="4:14" x14ac:dyDescent="0.2">
      <c r="D36" s="66" t="s">
        <v>357</v>
      </c>
      <c r="G36" s="103" t="str">
        <f>Currency</f>
        <v>US$'000</v>
      </c>
      <c r="J36" s="142">
        <f ca="1">J30*J34</f>
        <v>13.298961054501877</v>
      </c>
      <c r="K36" s="142">
        <f t="shared" ref="K36:N36" ca="1" si="5">K30*K34</f>
        <v>56.608888971875338</v>
      </c>
      <c r="L36" s="142">
        <f t="shared" ca="1" si="5"/>
        <v>122.77747365702994</v>
      </c>
      <c r="M36" s="142">
        <f t="shared" ca="1" si="5"/>
        <v>152.5019988338974</v>
      </c>
      <c r="N36" s="142">
        <f t="shared" ca="1" si="5"/>
        <v>144.24468921132976</v>
      </c>
    </row>
    <row r="38" spans="4:14" ht="12.75" thickBot="1" x14ac:dyDescent="0.25">
      <c r="D38" s="66" t="s">
        <v>358</v>
      </c>
      <c r="G38" s="103" t="str">
        <f>Currency</f>
        <v>US$'000</v>
      </c>
      <c r="I38" s="156">
        <f ca="1">SUM(J36:N36)</f>
        <v>489.43201172863428</v>
      </c>
    </row>
    <row r="39" spans="4:14" ht="12.75" thickTop="1" x14ac:dyDescent="0.2"/>
  </sheetData>
  <conditionalFormatting sqref="G13 G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3C1679DF-CF61-4FF7-BACB-2D4ADC4685EB}"/>
    <hyperlink ref="A3" location="HL_Navigator" display="Navigator" xr:uid="{4DB75B50-2AD3-4E0C-9D8D-F2A445162B04}"/>
    <hyperlink ref="G4" location="Overall_Error_Check" tooltip="Go to Overall Error Check" display="Overall_Error_Check" xr:uid="{9340BE8F-FBED-4897-8898-1BE9A562D4CD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1297-CD82-4D41-AD33-DFE7D85EC2E5}">
  <sheetPr codeName="Sheet16">
    <outlinePr summaryBelow="0" summaryRight="0"/>
  </sheetPr>
  <dimension ref="A1:O35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92" customWidth="1"/>
    <col min="6" max="6" width="27.85546875" style="92" customWidth="1"/>
    <col min="7" max="7" width="9.140625" style="92"/>
    <col min="8" max="8" width="1.7109375" style="92" customWidth="1"/>
    <col min="9" max="9" width="9.140625" style="92" customWidth="1"/>
    <col min="10" max="14" width="9.140625" style="92"/>
    <col min="15" max="15" width="3.7109375" style="92" customWidth="1"/>
    <col min="16" max="16384" width="9.140625" style="92"/>
  </cols>
  <sheetData>
    <row r="1" spans="1:15" ht="20.25" x14ac:dyDescent="0.3">
      <c r="A1" s="46" t="s">
        <v>353</v>
      </c>
    </row>
    <row r="2" spans="1:15" ht="18" x14ac:dyDescent="0.25">
      <c r="A2" s="74" t="str">
        <f ca="1">Model_Name</f>
        <v>Chapter 7.1 - SP Case Study Model vLB1.01.xlsx</v>
      </c>
    </row>
    <row r="3" spans="1:15" x14ac:dyDescent="0.2">
      <c r="A3" s="176" t="s">
        <v>1</v>
      </c>
      <c r="B3" s="125"/>
      <c r="C3" s="125"/>
      <c r="D3" s="125"/>
      <c r="E3" s="125"/>
    </row>
    <row r="4" spans="1:15" x14ac:dyDescent="0.2">
      <c r="A4" s="92" t="s">
        <v>2</v>
      </c>
      <c r="B4" s="125"/>
      <c r="C4" s="125"/>
      <c r="D4" s="125"/>
      <c r="E4" s="125"/>
      <c r="G4" s="96">
        <f ca="1">Overall_Error_Check</f>
        <v>0</v>
      </c>
    </row>
    <row r="5" spans="1:15" collapsed="1" x14ac:dyDescent="0.2">
      <c r="A5" s="168"/>
      <c r="B5" s="125"/>
      <c r="C5" s="125"/>
      <c r="D5" s="125"/>
      <c r="E5" s="125"/>
      <c r="G5" s="99"/>
      <c r="J5" s="40">
        <f>Timing!J5</f>
        <v>44377</v>
      </c>
      <c r="K5" s="40">
        <f>Timing!K5</f>
        <v>44742</v>
      </c>
      <c r="L5" s="40">
        <f>Timing!L5</f>
        <v>45107</v>
      </c>
      <c r="M5" s="40">
        <f>Timing!M5</f>
        <v>45473</v>
      </c>
      <c r="N5" s="40">
        <f>Timing!N5</f>
        <v>45838</v>
      </c>
    </row>
    <row r="6" spans="1:15" hidden="1" outlineLevel="1" x14ac:dyDescent="0.2">
      <c r="A6" s="168"/>
      <c r="B6" s="125"/>
      <c r="C6" s="92" t="str">
        <f>Timing!C6</f>
        <v>Start Date</v>
      </c>
      <c r="D6" s="125"/>
      <c r="E6" s="125"/>
      <c r="G6" s="99"/>
      <c r="J6" s="39">
        <f>Timing!J6</f>
        <v>44013</v>
      </c>
      <c r="K6" s="39">
        <f>Timing!K6</f>
        <v>44378</v>
      </c>
      <c r="L6" s="39">
        <f>Timing!L6</f>
        <v>44743</v>
      </c>
      <c r="M6" s="39">
        <f>Timing!M6</f>
        <v>45108</v>
      </c>
      <c r="N6" s="39">
        <f>Timing!N6</f>
        <v>45474</v>
      </c>
    </row>
    <row r="7" spans="1:15" hidden="1" outlineLevel="1" x14ac:dyDescent="0.2">
      <c r="A7" s="168"/>
      <c r="B7" s="125"/>
      <c r="C7" s="92" t="str">
        <f>Timing!C7</f>
        <v>End Date</v>
      </c>
      <c r="D7" s="125"/>
      <c r="E7" s="125"/>
      <c r="G7" s="99"/>
      <c r="H7" s="99"/>
      <c r="J7" s="39">
        <f>Timing!J7</f>
        <v>44377</v>
      </c>
      <c r="K7" s="39">
        <f>Timing!K7</f>
        <v>44742</v>
      </c>
      <c r="L7" s="39">
        <f>Timing!L7</f>
        <v>45107</v>
      </c>
      <c r="M7" s="39">
        <f>Timing!M7</f>
        <v>45473</v>
      </c>
      <c r="N7" s="39">
        <f>Timing!N7</f>
        <v>45838</v>
      </c>
    </row>
    <row r="8" spans="1:15" hidden="1" outlineLevel="1" x14ac:dyDescent="0.2">
      <c r="A8" s="168"/>
      <c r="B8" s="125"/>
      <c r="C8" s="92" t="str">
        <f>Timing!C8</f>
        <v>Number of Days</v>
      </c>
      <c r="D8" s="125"/>
      <c r="E8" s="125"/>
      <c r="G8" s="99"/>
      <c r="H8" s="99"/>
      <c r="J8" s="35">
        <f>Timing!J8</f>
        <v>365</v>
      </c>
      <c r="K8" s="35">
        <f>Timing!K8</f>
        <v>365</v>
      </c>
      <c r="L8" s="35">
        <f>Timing!L8</f>
        <v>365</v>
      </c>
      <c r="M8" s="35">
        <f>Timing!M8</f>
        <v>366</v>
      </c>
      <c r="N8" s="35">
        <f>Timing!N8</f>
        <v>365</v>
      </c>
    </row>
    <row r="9" spans="1:15" hidden="1" outlineLevel="1" x14ac:dyDescent="0.2">
      <c r="A9" s="168"/>
      <c r="B9" s="125"/>
      <c r="C9" s="92" t="str">
        <f>Timing!C9</f>
        <v>Counter</v>
      </c>
      <c r="D9" s="125"/>
      <c r="E9" s="125"/>
      <c r="G9" s="99"/>
      <c r="H9" s="99"/>
      <c r="J9" s="35">
        <f>Timing!J9</f>
        <v>1</v>
      </c>
      <c r="K9" s="35">
        <f>Timing!K9</f>
        <v>2</v>
      </c>
      <c r="L9" s="35">
        <f>Timing!L9</f>
        <v>3</v>
      </c>
      <c r="M9" s="35">
        <f>Timing!M9</f>
        <v>4</v>
      </c>
      <c r="N9" s="35">
        <f>Timing!N9</f>
        <v>5</v>
      </c>
    </row>
    <row r="11" spans="1:15" ht="16.5" thickBot="1" x14ac:dyDescent="0.3">
      <c r="B11" s="48">
        <f>MAX($B$9:$B10)+1</f>
        <v>1</v>
      </c>
      <c r="C11" s="3" t="str">
        <f>A1</f>
        <v>Free Cash Flow to Equity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/>
    <row r="13" spans="1:15" ht="16.5" x14ac:dyDescent="0.25">
      <c r="C13" s="63" t="str">
        <f>C11</f>
        <v>Free Cash Flow to Equity</v>
      </c>
    </row>
    <row r="15" spans="1:15" x14ac:dyDescent="0.2">
      <c r="D15" s="152" t="s">
        <v>270</v>
      </c>
    </row>
    <row r="16" spans="1:15" x14ac:dyDescent="0.2">
      <c r="D16" s="152"/>
      <c r="E16" s="92" t="s">
        <v>271</v>
      </c>
      <c r="G16" s="103" t="str">
        <f t="shared" ref="G16:G22" si="0">Currency</f>
        <v>US$'000</v>
      </c>
      <c r="H16" s="103"/>
      <c r="J16" s="135">
        <f>-Calculations!J33</f>
        <v>384.24657534246575</v>
      </c>
      <c r="K16" s="135">
        <f>-Calculations!K33</f>
        <v>440.10958904109594</v>
      </c>
      <c r="L16" s="135">
        <f>-Calculations!L33</f>
        <v>485.43561643835631</v>
      </c>
      <c r="M16" s="135">
        <f>-Calculations!M33</f>
        <v>525.98238311250861</v>
      </c>
      <c r="N16" s="135">
        <f>-Calculations!N33</f>
        <v>554.22171551762881</v>
      </c>
    </row>
    <row r="17" spans="4:14" x14ac:dyDescent="0.2">
      <c r="D17" s="152"/>
      <c r="E17" s="157"/>
      <c r="F17" s="92" t="s">
        <v>272</v>
      </c>
      <c r="G17" s="103" t="str">
        <f t="shared" si="0"/>
        <v>US$'000</v>
      </c>
      <c r="H17" s="103"/>
      <c r="J17" s="135">
        <f>Calculations!J59</f>
        <v>-120.41095890410959</v>
      </c>
      <c r="K17" s="135">
        <f>Calculations!K59</f>
        <v>-130.84931506849318</v>
      </c>
      <c r="L17" s="135">
        <f>Calculations!L59</f>
        <v>-144.52602739726032</v>
      </c>
      <c r="M17" s="135">
        <f>Calculations!M59</f>
        <v>-156.85847240062884</v>
      </c>
      <c r="N17" s="135">
        <f>Calculations!N59</f>
        <v>-165.57449198293295</v>
      </c>
    </row>
    <row r="18" spans="4:14" x14ac:dyDescent="0.2">
      <c r="D18" s="152"/>
      <c r="E18" s="157"/>
      <c r="F18" s="92" t="s">
        <v>273</v>
      </c>
      <c r="G18" s="103" t="str">
        <f t="shared" si="0"/>
        <v>US$'000</v>
      </c>
      <c r="H18" s="103"/>
      <c r="J18" s="135">
        <f>Calculations!J88</f>
        <v>-60</v>
      </c>
      <c r="K18" s="135">
        <f>Calculations!K88</f>
        <v>-65</v>
      </c>
      <c r="L18" s="135">
        <f>Calculations!L88</f>
        <v>-67.600000000000009</v>
      </c>
      <c r="M18" s="135">
        <f>Calculations!M88</f>
        <v>-69.628000000000014</v>
      </c>
      <c r="N18" s="135">
        <f>Calculations!N88</f>
        <v>-71.020560000000017</v>
      </c>
    </row>
    <row r="19" spans="4:14" x14ac:dyDescent="0.2">
      <c r="D19" s="152"/>
      <c r="E19" s="92" t="s">
        <v>172</v>
      </c>
      <c r="G19" s="103" t="str">
        <f t="shared" si="0"/>
        <v>US$'000</v>
      </c>
      <c r="H19" s="103"/>
      <c r="J19" s="158">
        <f>SUM(J17:J18)</f>
        <v>-180.41095890410958</v>
      </c>
      <c r="K19" s="158">
        <f t="shared" ref="K19:N19" si="1">SUM(K17:K18)</f>
        <v>-195.84931506849318</v>
      </c>
      <c r="L19" s="158">
        <f t="shared" si="1"/>
        <v>-212.12602739726032</v>
      </c>
      <c r="M19" s="158">
        <f t="shared" si="1"/>
        <v>-226.48647240062886</v>
      </c>
      <c r="N19" s="158">
        <f t="shared" si="1"/>
        <v>-236.59505198293297</v>
      </c>
    </row>
    <row r="20" spans="4:14" x14ac:dyDescent="0.2">
      <c r="D20" s="152"/>
      <c r="E20" s="92" t="s">
        <v>157</v>
      </c>
      <c r="G20" s="103" t="str">
        <f t="shared" si="0"/>
        <v>US$'000</v>
      </c>
      <c r="H20" s="103"/>
      <c r="J20" s="135">
        <f>Calculations!J156</f>
        <v>-20</v>
      </c>
      <c r="K20" s="135">
        <f>Calculations!K156</f>
        <v>-9</v>
      </c>
      <c r="L20" s="135">
        <f>Calculations!L156</f>
        <v>-11.05</v>
      </c>
      <c r="M20" s="135">
        <f>Calculations!M156</f>
        <v>-13.3</v>
      </c>
      <c r="N20" s="135">
        <f>Calculations!N156</f>
        <v>-13.125</v>
      </c>
    </row>
    <row r="21" spans="4:14" x14ac:dyDescent="0.2">
      <c r="D21" s="152"/>
      <c r="E21" s="92" t="s">
        <v>215</v>
      </c>
      <c r="G21" s="103" t="str">
        <f t="shared" si="0"/>
        <v>US$'000</v>
      </c>
      <c r="H21" s="103"/>
      <c r="J21" s="135">
        <f ca="1">Calculations!J280</f>
        <v>-40</v>
      </c>
      <c r="K21" s="135">
        <f ca="1">Calculations!K280</f>
        <v>0</v>
      </c>
      <c r="L21" s="135">
        <f ca="1">Calculations!L280</f>
        <v>0</v>
      </c>
      <c r="M21" s="135">
        <f ca="1">Calculations!M280</f>
        <v>0</v>
      </c>
      <c r="N21" s="135">
        <f ca="1">Calculations!N280</f>
        <v>0</v>
      </c>
    </row>
    <row r="22" spans="4:14" x14ac:dyDescent="0.2">
      <c r="D22" s="152"/>
      <c r="E22" s="66" t="str">
        <f>"Net "&amp;D15</f>
        <v>Net Operating Cash Flow</v>
      </c>
      <c r="G22" s="103" t="str">
        <f t="shared" si="0"/>
        <v>US$'000</v>
      </c>
      <c r="H22" s="103"/>
      <c r="J22" s="142">
        <f ca="1">SUM(J16,J19:J21)</f>
        <v>143.83561643835617</v>
      </c>
      <c r="K22" s="142">
        <f t="shared" ref="K22:N22" ca="1" si="2">SUM(K16,K19:K21)</f>
        <v>235.26027397260276</v>
      </c>
      <c r="L22" s="142">
        <f t="shared" ca="1" si="2"/>
        <v>262.25958904109598</v>
      </c>
      <c r="M22" s="142">
        <f t="shared" ca="1" si="2"/>
        <v>286.19591071187978</v>
      </c>
      <c r="N22" s="142">
        <f t="shared" ca="1" si="2"/>
        <v>304.50166353469581</v>
      </c>
    </row>
    <row r="23" spans="4:14" x14ac:dyDescent="0.2">
      <c r="D23" s="152"/>
      <c r="J23" s="135"/>
      <c r="K23" s="135"/>
      <c r="L23" s="135"/>
      <c r="M23" s="135"/>
      <c r="N23" s="135"/>
    </row>
    <row r="24" spans="4:14" x14ac:dyDescent="0.2">
      <c r="D24" s="152" t="s">
        <v>274</v>
      </c>
      <c r="J24" s="135"/>
      <c r="K24" s="135"/>
      <c r="L24" s="135"/>
      <c r="M24" s="135"/>
      <c r="N24" s="135"/>
    </row>
    <row r="25" spans="4:14" x14ac:dyDescent="0.2">
      <c r="D25" s="152"/>
      <c r="E25" s="92" t="s">
        <v>276</v>
      </c>
      <c r="G25" s="103" t="str">
        <f>Currency</f>
        <v>US$'000</v>
      </c>
      <c r="H25" s="103"/>
      <c r="J25" s="135">
        <f>-Calculations!J119</f>
        <v>-150</v>
      </c>
      <c r="K25" s="135">
        <f>-Calculations!K119</f>
        <v>-180</v>
      </c>
      <c r="L25" s="135">
        <f>-Calculations!L119</f>
        <v>-120</v>
      </c>
      <c r="M25" s="135">
        <f>-Calculations!M119</f>
        <v>-90</v>
      </c>
      <c r="N25" s="135">
        <f>-Calculations!N119</f>
        <v>-100</v>
      </c>
    </row>
    <row r="26" spans="4:14" x14ac:dyDescent="0.2">
      <c r="D26" s="152"/>
      <c r="E26" s="66" t="str">
        <f>"Net "&amp;D24</f>
        <v>Net Investing Cash Flows</v>
      </c>
      <c r="G26" s="103" t="str">
        <f>Currency</f>
        <v>US$'000</v>
      </c>
      <c r="H26" s="103"/>
      <c r="J26" s="142">
        <f>SUM(J25:J25)</f>
        <v>-150</v>
      </c>
      <c r="K26" s="142">
        <f>SUM(K25:K25)</f>
        <v>-180</v>
      </c>
      <c r="L26" s="142">
        <f>SUM(L25:L25)</f>
        <v>-120</v>
      </c>
      <c r="M26" s="142">
        <f>SUM(M25:M25)</f>
        <v>-90</v>
      </c>
      <c r="N26" s="142">
        <f>SUM(N25:N25)</f>
        <v>-100</v>
      </c>
    </row>
    <row r="27" spans="4:14" x14ac:dyDescent="0.2">
      <c r="D27" s="152"/>
      <c r="J27" s="135"/>
      <c r="K27" s="135"/>
      <c r="L27" s="135"/>
      <c r="M27" s="135"/>
      <c r="N27" s="135"/>
    </row>
    <row r="28" spans="4:14" x14ac:dyDescent="0.2">
      <c r="D28" s="152" t="s">
        <v>277</v>
      </c>
      <c r="J28" s="135"/>
      <c r="K28" s="135"/>
      <c r="L28" s="135"/>
      <c r="M28" s="135"/>
      <c r="N28" s="135"/>
    </row>
    <row r="29" spans="4:14" x14ac:dyDescent="0.2">
      <c r="D29" s="152"/>
      <c r="E29" s="92" t="s">
        <v>186</v>
      </c>
      <c r="G29" s="103" t="str">
        <f t="shared" ref="G29:G31" si="3">Currency</f>
        <v>US$'000</v>
      </c>
      <c r="H29" s="103"/>
      <c r="J29" s="135">
        <f>Calculations!J136</f>
        <v>20</v>
      </c>
      <c r="K29" s="135">
        <f>Calculations!K136</f>
        <v>20</v>
      </c>
      <c r="L29" s="135">
        <f>Calculations!L136</f>
        <v>0</v>
      </c>
      <c r="M29" s="135">
        <f>Calculations!M136</f>
        <v>0</v>
      </c>
      <c r="N29" s="135">
        <f>Calculations!N136</f>
        <v>0</v>
      </c>
    </row>
    <row r="30" spans="4:14" x14ac:dyDescent="0.2">
      <c r="D30" s="152"/>
      <c r="E30" s="92" t="s">
        <v>187</v>
      </c>
      <c r="G30" s="103" t="str">
        <f t="shared" si="3"/>
        <v>US$'000</v>
      </c>
      <c r="H30" s="103"/>
      <c r="J30" s="135">
        <f>Calculations!J137</f>
        <v>0</v>
      </c>
      <c r="K30" s="135">
        <f>Calculations!K137</f>
        <v>0</v>
      </c>
      <c r="L30" s="135">
        <f>Calculations!L137</f>
        <v>-15</v>
      </c>
      <c r="M30" s="135">
        <f>Calculations!M137</f>
        <v>-25</v>
      </c>
      <c r="N30" s="135">
        <f>Calculations!N137</f>
        <v>-10</v>
      </c>
    </row>
    <row r="31" spans="4:14" x14ac:dyDescent="0.2">
      <c r="D31" s="152"/>
      <c r="E31" s="66" t="str">
        <f>"Net "&amp;D28</f>
        <v>Net Financing Cash Flows</v>
      </c>
      <c r="G31" s="103" t="str">
        <f t="shared" si="3"/>
        <v>US$'000</v>
      </c>
      <c r="H31" s="103"/>
      <c r="J31" s="142">
        <f>SUM(J29:J30)</f>
        <v>20</v>
      </c>
      <c r="K31" s="142">
        <f>SUM(K29:K30)</f>
        <v>20</v>
      </c>
      <c r="L31" s="142">
        <f>SUM(L29:L30)</f>
        <v>-15</v>
      </c>
      <c r="M31" s="142">
        <f>SUM(M29:M30)</f>
        <v>-25</v>
      </c>
      <c r="N31" s="142">
        <f>SUM(N29:N30)</f>
        <v>-10</v>
      </c>
    </row>
    <row r="32" spans="4:14" x14ac:dyDescent="0.2">
      <c r="D32" s="152"/>
      <c r="J32" s="135"/>
      <c r="K32" s="135"/>
      <c r="L32" s="135"/>
      <c r="M32" s="135"/>
      <c r="N32" s="135"/>
    </row>
    <row r="33" spans="3:14" ht="12.75" thickBot="1" x14ac:dyDescent="0.25">
      <c r="D33" s="66" t="str">
        <f>C11</f>
        <v>Free Cash Flow to Equity</v>
      </c>
      <c r="G33" s="103" t="str">
        <f>Currency</f>
        <v>US$'000</v>
      </c>
      <c r="H33" s="103"/>
      <c r="J33" s="156">
        <f ca="1">J22+J26+J31</f>
        <v>13.835616438356169</v>
      </c>
      <c r="K33" s="156">
        <f ca="1">K22+K26+K31</f>
        <v>75.260273972602761</v>
      </c>
      <c r="L33" s="156">
        <f ca="1">L22+L26+L31</f>
        <v>127.25958904109598</v>
      </c>
      <c r="M33" s="156">
        <f ca="1">M22+M26+M31</f>
        <v>171.19591071187978</v>
      </c>
      <c r="N33" s="156">
        <f ca="1">N22+N26+N31</f>
        <v>194.50166353469581</v>
      </c>
    </row>
    <row r="34" spans="3:14" ht="12.75" thickTop="1" x14ac:dyDescent="0.2">
      <c r="C34" s="152"/>
      <c r="J34" s="135"/>
      <c r="K34" s="135"/>
      <c r="L34" s="135"/>
      <c r="M34" s="135"/>
      <c r="N34" s="135"/>
    </row>
    <row r="35" spans="3:14" x14ac:dyDescent="0.2">
      <c r="C35" s="152"/>
      <c r="J35" s="135"/>
      <c r="K35" s="135"/>
      <c r="L35" s="135"/>
      <c r="M35" s="135"/>
      <c r="N35" s="135"/>
    </row>
  </sheetData>
  <conditionalFormatting sqref="G10 G4">
    <cfRule type="cellIs" dxfId="7" priority="3" operator="notEqual">
      <formula>0</formula>
    </cfRule>
  </conditionalFormatting>
  <hyperlinks>
    <hyperlink ref="A3:E3" location="HL_Navigator" tooltip="Go to Navigator (Table of Contents)" display="Navigator" xr:uid="{60A9E856-3C41-4EDF-8296-0B63A7223274}"/>
    <hyperlink ref="A3" location="HL_Navigator" display="Navigator" xr:uid="{50E5C2A4-6FEC-44E2-A435-83A14C9380E1}"/>
    <hyperlink ref="G4" location="Overall_Error_Check" tooltip="Go to Overall Error Check" display="Overall_Error_Check" xr:uid="{DA55CD8F-B393-49ED-8672-18E4F901E7F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outlinePr summaryBelow="0"/>
  </sheetPr>
  <dimension ref="A1:S23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0.140625" customWidth="1"/>
    <col min="9" max="11" width="9.140625" customWidth="1"/>
    <col min="12" max="19" width="0" hidden="1" customWidth="1"/>
    <col min="20" max="16384" width="9.140625" hidden="1"/>
  </cols>
  <sheetData>
    <row r="1" spans="1:10" ht="20.25" x14ac:dyDescent="0.3">
      <c r="A1" s="46" t="str">
        <f ca="1">IFERROR(RIGHT(CELL("filename",A1),LEN(CELL("filename",A1))-FIND("]",CELL("filename",A1))),"")</f>
        <v>Error Checks</v>
      </c>
      <c r="I1" s="178"/>
      <c r="J1" s="178"/>
    </row>
    <row r="2" spans="1:10" ht="18" x14ac:dyDescent="0.25">
      <c r="A2" s="47" t="str">
        <f ca="1">Model_Name</f>
        <v>Chapter 7.1 - SP Case Study Model vLB1.01.xlsx</v>
      </c>
    </row>
    <row r="3" spans="1:10" x14ac:dyDescent="0.2">
      <c r="A3" s="176" t="s">
        <v>1</v>
      </c>
      <c r="B3" s="58"/>
      <c r="C3" s="58"/>
      <c r="D3" s="58"/>
      <c r="E3" s="58"/>
    </row>
    <row r="4" spans="1:10" ht="14.25" x14ac:dyDescent="0.2">
      <c r="A4" t="s">
        <v>2</v>
      </c>
      <c r="F4" s="1">
        <f ca="1">Overall_Error_Check</f>
        <v>0</v>
      </c>
    </row>
    <row r="6" spans="1:10" ht="16.5" thickBot="1" x14ac:dyDescent="0.3">
      <c r="B6" s="48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</row>
    <row r="7" spans="1:10" ht="12.75" outlineLevel="1" thickTop="1" x14ac:dyDescent="0.2"/>
    <row r="8" spans="1:10" ht="16.5" outlineLevel="1" x14ac:dyDescent="0.25">
      <c r="C8" s="4" t="s">
        <v>67</v>
      </c>
    </row>
    <row r="9" spans="1:10" ht="16.5" outlineLevel="1" x14ac:dyDescent="0.25">
      <c r="C9" s="4"/>
    </row>
    <row r="10" spans="1:10" ht="16.5" outlineLevel="1" x14ac:dyDescent="0.25">
      <c r="C10" s="4"/>
      <c r="D10" s="5" t="s">
        <v>68</v>
      </c>
    </row>
    <row r="11" spans="1:10" outlineLevel="1" x14ac:dyDescent="0.2"/>
    <row r="12" spans="1:10" s="85" customFormat="1" outlineLevel="1" x14ac:dyDescent="0.2">
      <c r="E12" s="85" t="s">
        <v>325</v>
      </c>
      <c r="I12" s="159">
        <f>'Opening Balance Sheet'!I55</f>
        <v>0</v>
      </c>
    </row>
    <row r="13" spans="1:10" s="85" customFormat="1" outlineLevel="1" x14ac:dyDescent="0.2">
      <c r="E13" s="85" t="s">
        <v>326</v>
      </c>
      <c r="I13" s="159">
        <f>'Opening Balance Sheet'!I56</f>
        <v>0</v>
      </c>
    </row>
    <row r="14" spans="1:10" s="85" customFormat="1" outlineLevel="1" x14ac:dyDescent="0.2">
      <c r="E14" s="85" t="s">
        <v>327</v>
      </c>
      <c r="I14" s="159">
        <f>'Opening Balance Sheet'!I57</f>
        <v>0</v>
      </c>
    </row>
    <row r="15" spans="1:10" s="85" customFormat="1" outlineLevel="1" x14ac:dyDescent="0.2">
      <c r="E15" s="85" t="s">
        <v>328</v>
      </c>
      <c r="I15" s="159">
        <f ca="1">'Balance Sheet'!I55</f>
        <v>0</v>
      </c>
    </row>
    <row r="16" spans="1:10" outlineLevel="1" x14ac:dyDescent="0.2">
      <c r="E16" s="85" t="s">
        <v>329</v>
      </c>
      <c r="I16" s="159">
        <f ca="1">'Balance Sheet'!I56</f>
        <v>0</v>
      </c>
    </row>
    <row r="17" spans="5:9" outlineLevel="1" x14ac:dyDescent="0.2">
      <c r="E17" s="85" t="s">
        <v>330</v>
      </c>
      <c r="I17" s="159">
        <f ca="1">'Balance Sheet'!I57</f>
        <v>0</v>
      </c>
    </row>
    <row r="18" spans="5:9" outlineLevel="1" x14ac:dyDescent="0.2">
      <c r="E18" t="s">
        <v>331</v>
      </c>
      <c r="I18" s="159">
        <f ca="1">'Cash Flow Statement'!I57</f>
        <v>0</v>
      </c>
    </row>
    <row r="19" spans="5:9" outlineLevel="1" x14ac:dyDescent="0.2">
      <c r="E19" s="85" t="s">
        <v>332</v>
      </c>
      <c r="I19" s="159">
        <f ca="1">'Cash Flow Statement'!I58</f>
        <v>0</v>
      </c>
    </row>
    <row r="20" spans="5:9" outlineLevel="1" x14ac:dyDescent="0.2"/>
    <row r="21" spans="5:9" ht="15" outlineLevel="1" x14ac:dyDescent="0.25">
      <c r="E21" s="5" t="str">
        <f>C8</f>
        <v>Summary of Errors</v>
      </c>
      <c r="I21" s="96">
        <f ca="1">MIN(1,SUM(I11:I19))</f>
        <v>0</v>
      </c>
    </row>
    <row r="22" spans="5:9" outlineLevel="1" x14ac:dyDescent="0.2"/>
    <row r="23" spans="5:9" outlineLevel="1" x14ac:dyDescent="0.2"/>
  </sheetData>
  <mergeCells count="1">
    <mergeCell ref="I1:J1"/>
  </mergeCells>
  <conditionalFormatting sqref="F4">
    <cfRule type="cellIs" dxfId="6" priority="6" operator="notEqual">
      <formula>0</formula>
    </cfRule>
  </conditionalFormatting>
  <conditionalFormatting sqref="I21">
    <cfRule type="cellIs" dxfId="5" priority="2" operator="notEqual">
      <formula>0</formula>
    </cfRule>
  </conditionalFormatting>
  <conditionalFormatting sqref="I12:I19">
    <cfRule type="cellIs" dxfId="4" priority="1" operator="notEqual">
      <formula>0</formula>
    </cfRule>
  </conditionalFormatting>
  <hyperlinks>
    <hyperlink ref="F4" location="Overall_Error_Check" tooltip="Go to Overall Error Check" display="Overall_Error_Check" xr:uid="{00000000-0004-0000-0A00-000000000000}"/>
    <hyperlink ref="A3:E3" location="HL_Navigator" tooltip="Go to Navigator (Table of Contents)" display="Navigator" xr:uid="{00000000-0004-0000-0A00-000001000000}"/>
    <hyperlink ref="A3" location="HL_Navigator" display="Navigator" xr:uid="{00000000-0004-0000-0A00-000002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">
    <outlinePr summaryBelow="0"/>
  </sheetPr>
  <dimension ref="A1:O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s="38" customFormat="1" ht="20.25" x14ac:dyDescent="0.3">
      <c r="A1" s="46" t="str">
        <f ca="1">IFERROR(RIGHT(CELL("filename",A1),LEN(CELL("filename",A1))-FIND("]",CELL("filename",A1))),"")</f>
        <v>Timing</v>
      </c>
      <c r="I1" s="58"/>
      <c r="J1" s="58"/>
    </row>
    <row r="2" spans="1:15" s="38" customFormat="1" ht="18" x14ac:dyDescent="0.25">
      <c r="A2" s="47" t="str">
        <f ca="1">Model_Name</f>
        <v>Chapter 7.1 - SP Case Study Model vLB1.01.xlsx</v>
      </c>
    </row>
    <row r="3" spans="1:15" s="38" customFormat="1" x14ac:dyDescent="0.2">
      <c r="A3" s="176" t="s">
        <v>1</v>
      </c>
      <c r="B3" s="58"/>
      <c r="C3" s="58"/>
      <c r="D3" s="58"/>
      <c r="E3" s="58"/>
    </row>
    <row r="4" spans="1:15" s="38" customFormat="1" ht="14.25" x14ac:dyDescent="0.2">
      <c r="A4" s="85" t="s">
        <v>2</v>
      </c>
      <c r="F4" s="1">
        <f ca="1">Overall_Error_Check</f>
        <v>0</v>
      </c>
    </row>
    <row r="5" spans="1:15" s="2" customFormat="1" x14ac:dyDescent="0.2">
      <c r="J5" s="40">
        <f>J$7</f>
        <v>44377</v>
      </c>
      <c r="K5" s="40">
        <f>K$7</f>
        <v>44742</v>
      </c>
      <c r="L5" s="40">
        <f>L$7</f>
        <v>45107</v>
      </c>
      <c r="M5" s="40">
        <f>M$7</f>
        <v>45473</v>
      </c>
      <c r="N5" s="40">
        <f>N$7</f>
        <v>45838</v>
      </c>
    </row>
    <row r="6" spans="1:15" s="38" customFormat="1" x14ac:dyDescent="0.2">
      <c r="C6" s="2" t="s">
        <v>71</v>
      </c>
      <c r="J6" s="39">
        <f>IF(J$9=1,Model_Start_Date,I$7+1)</f>
        <v>44013</v>
      </c>
      <c r="K6" s="39">
        <f>IF(K$9=1,Model_Start_Date,J$7+1)</f>
        <v>44378</v>
      </c>
      <c r="L6" s="39">
        <f>IF(L$9=1,Model_Start_Date,K$7+1)</f>
        <v>44743</v>
      </c>
      <c r="M6" s="39">
        <f>IF(M$9=1,Model_Start_Date,L$7+1)</f>
        <v>45108</v>
      </c>
      <c r="N6" s="39">
        <f>IF(N$9=1,Model_Start_Date,M$7+1)</f>
        <v>45474</v>
      </c>
    </row>
    <row r="7" spans="1:15" s="38" customFormat="1" x14ac:dyDescent="0.2">
      <c r="C7" s="2" t="s">
        <v>72</v>
      </c>
      <c r="J7" s="39">
        <f>EOMONTH(J$6,MOD(Periodicity+Reporting_Month_Factor-MONTH(J$6),Periodicity))</f>
        <v>44377</v>
      </c>
      <c r="K7" s="39">
        <f>EOMONTH(K$6,MOD(Periodicity+Reporting_Month_Factor-MONTH(K$6),Periodicity))</f>
        <v>44742</v>
      </c>
      <c r="L7" s="39">
        <f>EOMONTH(L$6,MOD(Periodicity+Reporting_Month_Factor-MONTH(L$6),Periodicity))</f>
        <v>45107</v>
      </c>
      <c r="M7" s="39">
        <f>EOMONTH(M$6,MOD(Periodicity+Reporting_Month_Factor-MONTH(M$6),Periodicity))</f>
        <v>45473</v>
      </c>
      <c r="N7" s="39">
        <f>EOMONTH(N$6,MOD(Periodicity+Reporting_Month_Factor-MONTH(N$6),Periodicity))</f>
        <v>45838</v>
      </c>
    </row>
    <row r="8" spans="1:15" s="38" customFormat="1" x14ac:dyDescent="0.2">
      <c r="C8" s="2" t="s">
        <v>74</v>
      </c>
      <c r="J8" s="35">
        <f>J7-J6+1</f>
        <v>365</v>
      </c>
      <c r="K8" s="35">
        <f t="shared" ref="K8:N8" si="0">K7-K6+1</f>
        <v>365</v>
      </c>
      <c r="L8" s="35">
        <f t="shared" si="0"/>
        <v>365</v>
      </c>
      <c r="M8" s="35">
        <f t="shared" si="0"/>
        <v>366</v>
      </c>
      <c r="N8" s="35">
        <f t="shared" si="0"/>
        <v>365</v>
      </c>
    </row>
    <row r="9" spans="1:15" s="38" customFormat="1" x14ac:dyDescent="0.2">
      <c r="C9" s="2" t="s">
        <v>73</v>
      </c>
      <c r="I9" s="24"/>
      <c r="J9" s="35">
        <f>N(I$9)+1</f>
        <v>1</v>
      </c>
      <c r="K9" s="35">
        <f t="shared" ref="K9:N9" si="1">N(J$9)+1</f>
        <v>2</v>
      </c>
      <c r="L9" s="35">
        <f t="shared" si="1"/>
        <v>3</v>
      </c>
      <c r="M9" s="35">
        <f t="shared" si="1"/>
        <v>4</v>
      </c>
      <c r="N9" s="35">
        <f t="shared" si="1"/>
        <v>5</v>
      </c>
    </row>
    <row r="10" spans="1:15" s="38" customFormat="1" x14ac:dyDescent="0.2"/>
    <row r="11" spans="1:15" s="38" customFormat="1" ht="16.5" thickBot="1" x14ac:dyDescent="0.3">
      <c r="B11" s="48">
        <f>MAX($B$10:$B10)+1</f>
        <v>1</v>
      </c>
      <c r="C11" s="42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38" customFormat="1" ht="12.75" thickTop="1" x14ac:dyDescent="0.2"/>
    <row r="13" spans="1:15" s="38" customFormat="1" ht="16.5" x14ac:dyDescent="0.25">
      <c r="C13" s="4" t="s">
        <v>76</v>
      </c>
    </row>
    <row r="15" spans="1:15" x14ac:dyDescent="0.2">
      <c r="D15" t="s">
        <v>77</v>
      </c>
      <c r="H15" s="162">
        <v>44013</v>
      </c>
    </row>
    <row r="17" spans="4:9" x14ac:dyDescent="0.2">
      <c r="D17" t="s">
        <v>78</v>
      </c>
      <c r="H17" s="49">
        <v>12</v>
      </c>
    </row>
    <row r="19" spans="4:9" x14ac:dyDescent="0.2">
      <c r="D19" t="s">
        <v>79</v>
      </c>
      <c r="H19" s="49">
        <v>6</v>
      </c>
      <c r="I19" s="19" t="str">
        <f>"e.g. "&amp;TEXT(DATE(YEAR(Model_Start_Date)+IF(Example_Reporting_Month&lt;MONTH(Model_Start_Date),1,0),Example_Reporting_Month+1,1)-1,"dd-Mmm-yy")</f>
        <v>e.g. 30-Jun-21</v>
      </c>
    </row>
    <row r="21" spans="4:9" x14ac:dyDescent="0.2">
      <c r="D21" t="s">
        <v>80</v>
      </c>
      <c r="H21" s="36">
        <f>MOD(Example_Reporting_Month-1,Periodicity)+1</f>
        <v>6</v>
      </c>
    </row>
    <row r="23" spans="4:9" x14ac:dyDescent="0.2">
      <c r="D23" t="s">
        <v>81</v>
      </c>
      <c r="H23" s="57">
        <v>12</v>
      </c>
    </row>
  </sheetData>
  <conditionalFormatting sqref="F4">
    <cfRule type="cellIs" dxfId="3" priority="1" operator="notEqual">
      <formula>0</formula>
    </cfRule>
  </conditionalFormatting>
  <dataValidations disablePrompts="1" count="1">
    <dataValidation type="list" allowBlank="1" showInputMessage="1" showErrorMessage="1" sqref="H17" xr:uid="{00000000-0002-0000-0B00-000000000000}">
      <formula1>"1,2,3,4,6,12"</formula1>
    </dataValidation>
  </dataValidations>
  <hyperlinks>
    <hyperlink ref="F4" location="Overall_Error_Check" tooltip="Go to Overall Error Check" display="Overall_Error_Check" xr:uid="{00000000-0004-0000-0B00-000000000000}"/>
    <hyperlink ref="A3:E3" location="HL_Navigator" tooltip="Go to Navigator (Table of Contents)" display="Navigator" xr:uid="{00000000-0004-0000-0B00-000001000000}"/>
    <hyperlink ref="A3" location="HL_Navigator" display="Navigator" xr:uid="{00000000-0004-0000-0B00-000002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15"/>
  <sheetViews>
    <sheetView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3" width="3.7109375" customWidth="1"/>
    <col min="4" max="4" width="16.28515625" bestFit="1" customWidth="1"/>
    <col min="5" max="5" width="1.7109375" customWidth="1"/>
    <col min="6" max="6" width="15" bestFit="1" customWidth="1"/>
    <col min="8" max="8" width="9.140625" style="171"/>
  </cols>
  <sheetData>
    <row r="1" spans="1:9" s="60" customFormat="1" ht="20.25" x14ac:dyDescent="0.3">
      <c r="A1" s="46" t="str">
        <f ca="1">IFERROR(RIGHT(CELL("filename",A1),LEN(CELL("filename",A1))-FIND("]",CELL("filename",A1))),"")</f>
        <v>Lookup</v>
      </c>
      <c r="H1" s="170"/>
      <c r="I1" s="163"/>
    </row>
    <row r="2" spans="1:9" s="60" customFormat="1" ht="18" x14ac:dyDescent="0.25">
      <c r="A2" s="47" t="str">
        <f ca="1">Model_Name</f>
        <v>Chapter 7.1 - SP Case Study Model vLB1.01.xlsx</v>
      </c>
      <c r="H2" s="171"/>
    </row>
    <row r="3" spans="1:9" s="60" customFormat="1" x14ac:dyDescent="0.2">
      <c r="A3" s="176" t="s">
        <v>1</v>
      </c>
      <c r="B3" s="58"/>
      <c r="C3" s="58"/>
      <c r="D3" s="58"/>
      <c r="E3" s="58"/>
      <c r="H3" s="171"/>
    </row>
    <row r="4" spans="1:9" s="60" customFormat="1" ht="14.25" x14ac:dyDescent="0.2">
      <c r="A4" s="60" t="s">
        <v>2</v>
      </c>
      <c r="G4" s="1">
        <f ca="1">Overall_Error_Check</f>
        <v>0</v>
      </c>
      <c r="H4" s="171"/>
    </row>
    <row r="6" spans="1:9" ht="16.5" thickBot="1" x14ac:dyDescent="0.3">
      <c r="B6" s="48">
        <f>MAX($B$5:$B5)+1</f>
        <v>1</v>
      </c>
      <c r="C6" s="42" t="str">
        <f ca="1">A1</f>
        <v>Lookup</v>
      </c>
      <c r="D6" s="3"/>
      <c r="E6" s="3"/>
      <c r="F6" s="3"/>
      <c r="G6" s="3"/>
      <c r="H6" s="3"/>
      <c r="I6" s="3"/>
    </row>
    <row r="7" spans="1:9" ht="12.75" thickTop="1" x14ac:dyDescent="0.2"/>
    <row r="8" spans="1:9" ht="16.5" x14ac:dyDescent="0.25">
      <c r="C8" s="63" t="s">
        <v>122</v>
      </c>
    </row>
    <row r="10" spans="1:9" x14ac:dyDescent="0.2">
      <c r="D10" s="164" t="str">
        <f>F11</f>
        <v>LU_Future_Years</v>
      </c>
    </row>
    <row r="11" spans="1:9" x14ac:dyDescent="0.2">
      <c r="D11" s="160">
        <f ca="1">OFFSET(Timing!$J$7,,ROWS($A$9:$A9))</f>
        <v>44742</v>
      </c>
      <c r="F11" s="64" t="s">
        <v>124</v>
      </c>
    </row>
    <row r="12" spans="1:9" x14ac:dyDescent="0.2">
      <c r="D12" s="160">
        <f ca="1">OFFSET(Timing!$J$7,,ROWS($A$9:$A10))</f>
        <v>45107</v>
      </c>
    </row>
    <row r="13" spans="1:9" x14ac:dyDescent="0.2">
      <c r="D13" s="160">
        <f ca="1">OFFSET(Timing!$J$7,,ROWS($A$9:$A11))</f>
        <v>45473</v>
      </c>
    </row>
    <row r="14" spans="1:9" x14ac:dyDescent="0.2">
      <c r="D14" s="160">
        <f ca="1">OFFSET(Timing!$J$7,,ROWS($A$9:$A12))</f>
        <v>45838</v>
      </c>
    </row>
    <row r="15" spans="1:9" x14ac:dyDescent="0.2">
      <c r="D15" s="161" t="s">
        <v>123</v>
      </c>
    </row>
  </sheetData>
  <conditionalFormatting sqref="G4">
    <cfRule type="cellIs" dxfId="2" priority="1" operator="notEqual">
      <formula>0</formula>
    </cfRule>
  </conditionalFormatting>
  <hyperlinks>
    <hyperlink ref="A3:E3" location="HL_Navigator" tooltip="Go to Navigator (Table of Contents)" display="Navigator" xr:uid="{00000000-0004-0000-0C00-000000000000}"/>
    <hyperlink ref="A3" location="HL_Navigator" display="Navigator" xr:uid="{00000000-0004-0000-0C00-000001000000}"/>
    <hyperlink ref="G4" location="Overall_Error_Check" tooltip="Go to Overall Error Check" display="Overall_Error_Check" xr:uid="{00000000-0004-0000-0C00-000002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L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11.140625" customWidth="1"/>
    <col min="7" max="7" width="27" customWidth="1"/>
    <col min="8" max="8" width="21.5703125" customWidth="1"/>
    <col min="9" max="9" width="24.42578125" customWidth="1"/>
    <col min="10" max="10" width="30.28515625" customWidth="1"/>
    <col min="11" max="11" width="26.7109375" style="2" customWidth="1"/>
  </cols>
  <sheetData>
    <row r="1" spans="1:12" s="2" customFormat="1" ht="20.25" x14ac:dyDescent="0.3">
      <c r="A1" s="46" t="str">
        <f ca="1">IFERROR(RIGHT(CELL("filename",A1),LEN(CELL("filename",A1))-FIND("]",CELL("filename",A1))),"")</f>
        <v>Change Log</v>
      </c>
      <c r="I1" s="58"/>
      <c r="J1" s="58"/>
      <c r="K1" s="45"/>
    </row>
    <row r="2" spans="1:12" s="2" customFormat="1" ht="18" x14ac:dyDescent="0.25">
      <c r="A2" s="47" t="str">
        <f ca="1">Model_Name</f>
        <v>Chapter 7.1 - SP Case Study Model vLB1.01.xlsx</v>
      </c>
    </row>
    <row r="3" spans="1:12" s="2" customFormat="1" x14ac:dyDescent="0.2">
      <c r="A3" s="176" t="s">
        <v>1</v>
      </c>
      <c r="B3" s="58"/>
      <c r="C3" s="58"/>
      <c r="D3" s="58"/>
      <c r="E3" s="58"/>
    </row>
    <row r="4" spans="1:12" s="2" customFormat="1" ht="14.25" x14ac:dyDescent="0.2">
      <c r="A4" s="2" t="s">
        <v>2</v>
      </c>
      <c r="F4" s="1">
        <f ca="1">Overall_Error_Check</f>
        <v>0</v>
      </c>
    </row>
    <row r="5" spans="1:12" s="2" customFormat="1" x14ac:dyDescent="0.2"/>
    <row r="6" spans="1:12" s="2" customFormat="1" ht="16.5" thickBot="1" x14ac:dyDescent="0.3">
      <c r="B6" s="48">
        <f>MAX($B$5:$B5)+1</f>
        <v>1</v>
      </c>
      <c r="C6" s="3" t="str">
        <f ca="1">A1</f>
        <v>Change Log</v>
      </c>
      <c r="D6" s="3"/>
      <c r="E6" s="3"/>
      <c r="F6" s="3"/>
      <c r="G6" s="3"/>
      <c r="H6" s="3"/>
      <c r="I6" s="3"/>
      <c r="J6" s="3"/>
      <c r="K6" s="3"/>
      <c r="L6" s="3"/>
    </row>
    <row r="7" spans="1:12" s="2" customFormat="1" ht="12.75" outlineLevel="1" thickTop="1" x14ac:dyDescent="0.2"/>
    <row r="8" spans="1:12" s="2" customFormat="1" ht="16.5" outlineLevel="1" x14ac:dyDescent="0.25">
      <c r="C8" s="4" t="s">
        <v>87</v>
      </c>
    </row>
    <row r="10" spans="1:12" x14ac:dyDescent="0.2">
      <c r="F10" s="11" t="s">
        <v>62</v>
      </c>
      <c r="G10" s="11" t="s">
        <v>83</v>
      </c>
      <c r="H10" s="11" t="s">
        <v>84</v>
      </c>
      <c r="I10" s="11" t="s">
        <v>85</v>
      </c>
      <c r="J10" s="11" t="s">
        <v>86</v>
      </c>
      <c r="K10" s="11" t="s">
        <v>89</v>
      </c>
    </row>
    <row r="11" spans="1:12" x14ac:dyDescent="0.2">
      <c r="F11" s="39">
        <v>41415</v>
      </c>
      <c r="G11" t="s">
        <v>92</v>
      </c>
      <c r="H11" s="2" t="s">
        <v>88</v>
      </c>
      <c r="I11" s="2" t="s">
        <v>82</v>
      </c>
      <c r="J11" s="56" t="s">
        <v>90</v>
      </c>
      <c r="K11" s="2" t="s">
        <v>91</v>
      </c>
    </row>
    <row r="12" spans="1:12" x14ac:dyDescent="0.2">
      <c r="F12" s="39">
        <v>41415</v>
      </c>
      <c r="G12" t="s">
        <v>92</v>
      </c>
      <c r="H12" t="s">
        <v>93</v>
      </c>
      <c r="I12" t="s">
        <v>70</v>
      </c>
      <c r="J12" s="56" t="s">
        <v>95</v>
      </c>
      <c r="K12" s="2" t="s">
        <v>91</v>
      </c>
    </row>
    <row r="13" spans="1:12" x14ac:dyDescent="0.2">
      <c r="F13" s="39">
        <v>41415</v>
      </c>
      <c r="G13" t="s">
        <v>92</v>
      </c>
      <c r="H13" t="s">
        <v>94</v>
      </c>
      <c r="I13" t="s">
        <v>1</v>
      </c>
      <c r="J13" s="56" t="s">
        <v>96</v>
      </c>
      <c r="K13" s="2" t="s">
        <v>97</v>
      </c>
    </row>
    <row r="14" spans="1:12" x14ac:dyDescent="0.2">
      <c r="F14" s="39"/>
    </row>
    <row r="15" spans="1:12" x14ac:dyDescent="0.2">
      <c r="F15" s="39"/>
    </row>
    <row r="16" spans="1:12" x14ac:dyDescent="0.2">
      <c r="F16" s="39"/>
    </row>
    <row r="17" spans="6:6" x14ac:dyDescent="0.2">
      <c r="F17" s="39"/>
    </row>
    <row r="18" spans="6:6" x14ac:dyDescent="0.2">
      <c r="F18" s="39"/>
    </row>
    <row r="19" spans="6:6" x14ac:dyDescent="0.2">
      <c r="F19" s="39"/>
    </row>
    <row r="20" spans="6:6" x14ac:dyDescent="0.2">
      <c r="F20" s="39"/>
    </row>
    <row r="21" spans="6:6" x14ac:dyDescent="0.2">
      <c r="F21" s="39"/>
    </row>
    <row r="22" spans="6:6" x14ac:dyDescent="0.2">
      <c r="F22" s="39"/>
    </row>
  </sheetData>
  <conditionalFormatting sqref="F4">
    <cfRule type="cellIs" dxfId="1" priority="1" operator="notEqual">
      <formula>0</formula>
    </cfRule>
  </conditionalFormatting>
  <hyperlinks>
    <hyperlink ref="F4" location="Overall_Error_Check" tooltip="Go to Overall Error Check" display="Overall_Error_Check" xr:uid="{00000000-0004-0000-0D00-000000000000}"/>
    <hyperlink ref="A3:E3" location="HL_Navigator" tooltip="Go to Navigator (Table of Contents)" display="Navigator" xr:uid="{00000000-0004-0000-0D00-000001000000}"/>
    <hyperlink ref="A3" location="HL_Navigator" display="Navigator" xr:uid="{00000000-0004-0000-0D00-000002000000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3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style="92" customWidth="1"/>
    <col min="6" max="6" width="17.7109375" style="92" customWidth="1"/>
    <col min="7" max="16384" width="9.140625" style="92"/>
  </cols>
  <sheetData>
    <row r="1" spans="1:12" ht="20.25" x14ac:dyDescent="0.3">
      <c r="A1" s="46" t="str">
        <f ca="1">IFERROR(RIGHT(CELL("filename",A1),LEN(CELL("filename",A1))-FIND("]",CELL("filename",A1))),"")</f>
        <v>Navigator</v>
      </c>
      <c r="F1" s="132"/>
      <c r="G1" s="132"/>
    </row>
    <row r="2" spans="1:12" ht="18" x14ac:dyDescent="0.25">
      <c r="A2" s="47" t="str">
        <f ca="1">Model_Name</f>
        <v>Chapter 7.1 - SP Case Study Model vLB1.01.xlsx</v>
      </c>
    </row>
    <row r="3" spans="1:12" x14ac:dyDescent="0.2">
      <c r="A3" s="178" t="s">
        <v>1</v>
      </c>
      <c r="B3" s="178"/>
      <c r="C3" s="178"/>
      <c r="D3" s="93"/>
      <c r="E3" s="93"/>
    </row>
    <row r="4" spans="1:12" x14ac:dyDescent="0.2">
      <c r="A4" s="92" t="s">
        <v>2</v>
      </c>
      <c r="G4" s="133">
        <f ca="1">Overall_Error_Check</f>
        <v>0</v>
      </c>
    </row>
    <row r="7" spans="1:12" ht="16.5" thickBot="1" x14ac:dyDescent="0.3">
      <c r="B7" s="48">
        <v>1</v>
      </c>
      <c r="C7" s="134" t="s">
        <v>25</v>
      </c>
      <c r="D7" s="126"/>
      <c r="E7" s="126"/>
      <c r="F7" s="126"/>
      <c r="G7" s="126"/>
      <c r="H7" s="126"/>
      <c r="I7" s="126"/>
      <c r="J7" s="126"/>
      <c r="K7" s="126"/>
      <c r="L7" s="126"/>
    </row>
    <row r="8" spans="1:12" ht="12.75" thickTop="1" x14ac:dyDescent="0.2"/>
    <row r="9" spans="1:12" x14ac:dyDescent="0.2">
      <c r="F9" s="176" t="s">
        <v>26</v>
      </c>
    </row>
    <row r="10" spans="1:12" x14ac:dyDescent="0.2">
      <c r="F10" s="176" t="s">
        <v>27</v>
      </c>
    </row>
    <row r="11" spans="1:12" x14ac:dyDescent="0.2">
      <c r="F11" s="176" t="s">
        <v>0</v>
      </c>
    </row>
    <row r="12" spans="1:12" x14ac:dyDescent="0.2">
      <c r="F12" s="176" t="s">
        <v>296</v>
      </c>
    </row>
    <row r="13" spans="1:12" x14ac:dyDescent="0.2">
      <c r="F13" s="176" t="s">
        <v>125</v>
      </c>
    </row>
    <row r="14" spans="1:12" x14ac:dyDescent="0.2">
      <c r="F14" s="176" t="s">
        <v>287</v>
      </c>
    </row>
    <row r="15" spans="1:12" x14ac:dyDescent="0.2">
      <c r="F15" s="176" t="s">
        <v>288</v>
      </c>
    </row>
    <row r="16" spans="1:12" x14ac:dyDescent="0.2">
      <c r="F16" s="176" t="s">
        <v>289</v>
      </c>
    </row>
    <row r="17" spans="6:6" x14ac:dyDescent="0.2">
      <c r="F17" s="176" t="s">
        <v>290</v>
      </c>
    </row>
    <row r="18" spans="6:6" x14ac:dyDescent="0.2">
      <c r="F18" s="176" t="s">
        <v>362</v>
      </c>
    </row>
    <row r="19" spans="6:6" x14ac:dyDescent="0.2">
      <c r="F19" s="176" t="s">
        <v>363</v>
      </c>
    </row>
    <row r="20" spans="6:6" x14ac:dyDescent="0.2">
      <c r="F20" s="176" t="s">
        <v>364</v>
      </c>
    </row>
    <row r="21" spans="6:6" x14ac:dyDescent="0.2">
      <c r="F21" s="176" t="s">
        <v>66</v>
      </c>
    </row>
    <row r="22" spans="6:6" x14ac:dyDescent="0.2">
      <c r="F22" s="176" t="s">
        <v>70</v>
      </c>
    </row>
    <row r="23" spans="6:6" x14ac:dyDescent="0.2">
      <c r="F23" s="176" t="s">
        <v>365</v>
      </c>
    </row>
    <row r="24" spans="6:6" x14ac:dyDescent="0.2">
      <c r="F24" s="176" t="s">
        <v>82</v>
      </c>
    </row>
    <row r="25" spans="6:6" x14ac:dyDescent="0.2">
      <c r="F25" s="81"/>
    </row>
    <row r="26" spans="6:6" x14ac:dyDescent="0.2">
      <c r="F26" s="81"/>
    </row>
    <row r="27" spans="6:6" x14ac:dyDescent="0.2">
      <c r="F27" s="81"/>
    </row>
    <row r="28" spans="6:6" x14ac:dyDescent="0.2">
      <c r="F28" s="81"/>
    </row>
    <row r="29" spans="6:6" x14ac:dyDescent="0.2">
      <c r="F29" s="81"/>
    </row>
    <row r="30" spans="6:6" x14ac:dyDescent="0.2">
      <c r="F30" s="81"/>
    </row>
    <row r="31" spans="6:6" x14ac:dyDescent="0.2">
      <c r="F31" s="81"/>
    </row>
    <row r="32" spans="6:6" x14ac:dyDescent="0.2">
      <c r="F32" s="81"/>
    </row>
    <row r="33" spans="6:6" x14ac:dyDescent="0.2">
      <c r="F33" s="81"/>
    </row>
    <row r="34" spans="6:6" x14ac:dyDescent="0.2">
      <c r="F34" s="81"/>
    </row>
    <row r="35" spans="6:6" x14ac:dyDescent="0.2">
      <c r="F35" s="81"/>
    </row>
    <row r="36" spans="6:6" x14ac:dyDescent="0.2">
      <c r="F36" s="81"/>
    </row>
    <row r="37" spans="6:6" x14ac:dyDescent="0.2">
      <c r="F37" s="81"/>
    </row>
    <row r="38" spans="6:6" x14ac:dyDescent="0.2">
      <c r="F38" s="81"/>
    </row>
    <row r="39" spans="6:6" x14ac:dyDescent="0.2">
      <c r="F39" s="81"/>
    </row>
    <row r="40" spans="6:6" x14ac:dyDescent="0.2">
      <c r="F40" s="81"/>
    </row>
    <row r="41" spans="6:6" x14ac:dyDescent="0.2">
      <c r="F41" s="81"/>
    </row>
    <row r="42" spans="6:6" x14ac:dyDescent="0.2">
      <c r="F42" s="81"/>
    </row>
    <row r="43" spans="6:6" x14ac:dyDescent="0.2">
      <c r="F43" s="81"/>
    </row>
  </sheetData>
  <mergeCells count="1">
    <mergeCell ref="A3:C3"/>
  </mergeCells>
  <hyperlinks>
    <hyperlink ref="F9" location="HL_1" display="Cover" xr:uid="{2AD350F5-5EB9-4548-BFC1-C4BE33A69711}"/>
    <hyperlink ref="F10" location="HL_3" display="Style Guide" xr:uid="{B2332AAF-01C9-4988-910E-1CC957E4154C}"/>
    <hyperlink ref="F11" location="HL_4" display="Model Parameters" xr:uid="{CB47C0C7-8EA7-4A15-8B0D-205C7201B1DB}"/>
    <hyperlink ref="F12" location="HL_5" display="General Assumptions" xr:uid="{17BEF6C4-AAC0-40F2-B2CE-11C9E0AF1C47}"/>
    <hyperlink ref="F13" location="HL_6" display="Calculations" xr:uid="{6B317CC0-0226-4427-8C8F-838930698DD8}"/>
    <hyperlink ref="F14" location="HL_7" display="Opening Balance Sheet" xr:uid="{06D1678D-55A1-4E79-87C7-C8B82118E40B}"/>
    <hyperlink ref="F15" location="HL_8" display="Income Statement" xr:uid="{7F05A506-6AB0-403D-9858-A20C99B4BEE9}"/>
    <hyperlink ref="F16" location="HL_9" display="Balance Sheet" xr:uid="{C165C1E9-744D-400C-8CF8-1196A58AC0D2}"/>
    <hyperlink ref="F17" location="HL_10" display="Cash Flow Statement" xr:uid="{A6F44A07-E902-4248-8F29-DD87E89BB773}"/>
    <hyperlink ref="F18" location="HL_11" display="FCFF (End)" xr:uid="{9FC7274D-7D90-43C0-922B-97ED4C657681}"/>
    <hyperlink ref="F19" location="HL_12" display="FCFF (Mid)" xr:uid="{3928B1E1-39CC-40BA-92B5-C9811882BB23}"/>
    <hyperlink ref="F20" location="HL_13" display="FCFE" xr:uid="{CACCC052-32B0-476F-A2D8-35EF5D249D45}"/>
    <hyperlink ref="F21" location="HL_14" display="Error Checks" xr:uid="{AB1B713C-D182-4259-8DCC-E88098B6EA3A}"/>
    <hyperlink ref="F22" location="HL_15" display="Timing" xr:uid="{C8521461-4FB4-469F-8A9A-84BE5A22E383}"/>
    <hyperlink ref="F23" location="HL_16" display="Lookup" xr:uid="{A6AFEE34-6487-4487-B671-09CFE7E5BA1C}"/>
    <hyperlink ref="F24" location="HL_17" display="Change Log" xr:uid="{6FCDBA84-3736-4B61-8C14-CB4678F703F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6" t="str">
        <f ca="1">IFERROR(RIGHT(CELL("filename",A1),LEN(CELL("filename",A1))-FIND("]",CELL("filename",A1))),"")</f>
        <v>Style Guide</v>
      </c>
      <c r="K1" s="10"/>
    </row>
    <row r="2" spans="1:13" ht="18" x14ac:dyDescent="0.25">
      <c r="A2" s="47" t="str">
        <f ca="1">Model_Name</f>
        <v>Chapter 7.1 - SP Case Study Model vLB1.01.xlsx</v>
      </c>
    </row>
    <row r="3" spans="1:13" x14ac:dyDescent="0.2">
      <c r="A3" s="176" t="s">
        <v>1</v>
      </c>
      <c r="B3" s="58"/>
      <c r="C3" s="58"/>
      <c r="D3" s="58"/>
      <c r="E3" s="58"/>
    </row>
    <row r="4" spans="1:13" ht="14.25" x14ac:dyDescent="0.2">
      <c r="A4" t="s">
        <v>2</v>
      </c>
      <c r="I4" s="1">
        <f ca="1">Overall_Error_Check</f>
        <v>0</v>
      </c>
    </row>
    <row r="6" spans="1:13" ht="16.5" thickBot="1" x14ac:dyDescent="0.3">
      <c r="B6" s="48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180" t="s">
        <v>29</v>
      </c>
      <c r="D8" s="180"/>
      <c r="E8" s="180"/>
      <c r="F8" s="180"/>
      <c r="G8" s="180"/>
      <c r="H8" s="11"/>
      <c r="I8" s="11" t="s">
        <v>30</v>
      </c>
      <c r="J8" s="11"/>
      <c r="K8" s="11" t="s">
        <v>31</v>
      </c>
    </row>
    <row r="9" spans="1:13" outlineLevel="1" x14ac:dyDescent="0.2">
      <c r="C9" s="179"/>
      <c r="D9" s="179"/>
      <c r="E9" s="179"/>
      <c r="F9" s="179"/>
      <c r="G9" s="179"/>
      <c r="H9" s="44"/>
      <c r="I9" s="44"/>
      <c r="J9" s="14"/>
      <c r="K9" s="16"/>
    </row>
    <row r="10" spans="1:13" ht="20.25" outlineLevel="1" x14ac:dyDescent="0.3">
      <c r="C10" s="179" t="s">
        <v>32</v>
      </c>
      <c r="D10" s="179"/>
      <c r="E10" s="179"/>
      <c r="F10" s="179"/>
      <c r="G10" s="179"/>
      <c r="H10" s="12"/>
      <c r="I10" s="13" t="str">
        <f>C10</f>
        <v>Sheet Title</v>
      </c>
      <c r="J10" s="14"/>
      <c r="K10" s="15" t="s">
        <v>32</v>
      </c>
    </row>
    <row r="11" spans="1:13" ht="15" outlineLevel="1" x14ac:dyDescent="0.25">
      <c r="C11" s="179" t="s">
        <v>5</v>
      </c>
      <c r="D11" s="179"/>
      <c r="E11" s="179"/>
      <c r="F11" s="179"/>
      <c r="G11" s="179"/>
      <c r="H11" s="12"/>
      <c r="I11" s="26" t="str">
        <f>C11</f>
        <v>Model Name</v>
      </c>
      <c r="J11" s="14"/>
      <c r="K11" s="15" t="s">
        <v>5</v>
      </c>
    </row>
    <row r="12" spans="1:13" outlineLevel="1" x14ac:dyDescent="0.2">
      <c r="C12" s="179"/>
      <c r="D12" s="179"/>
      <c r="E12" s="179"/>
      <c r="F12" s="179"/>
      <c r="G12" s="179"/>
      <c r="H12" s="12"/>
      <c r="I12" s="12"/>
      <c r="J12" s="14"/>
      <c r="K12" s="16"/>
    </row>
    <row r="13" spans="1:13" ht="16.5" outlineLevel="1" thickBot="1" x14ac:dyDescent="0.3">
      <c r="C13" s="179" t="s">
        <v>33</v>
      </c>
      <c r="D13" s="179"/>
      <c r="E13" s="179"/>
      <c r="F13" s="179"/>
      <c r="G13" s="179"/>
      <c r="H13" s="12"/>
      <c r="I13" s="43" t="str">
        <f>C13</f>
        <v>Header 1</v>
      </c>
      <c r="J13" s="14"/>
      <c r="K13" s="15" t="s">
        <v>33</v>
      </c>
    </row>
    <row r="14" spans="1:13" ht="17.25" outlineLevel="1" thickTop="1" x14ac:dyDescent="0.25">
      <c r="C14" s="179" t="s">
        <v>34</v>
      </c>
      <c r="D14" s="179"/>
      <c r="E14" s="179"/>
      <c r="F14" s="179"/>
      <c r="G14" s="179"/>
      <c r="H14" s="12"/>
      <c r="I14" s="4" t="str">
        <f>C14</f>
        <v>Header 2</v>
      </c>
      <c r="J14" s="14"/>
      <c r="K14" s="15" t="s">
        <v>34</v>
      </c>
    </row>
    <row r="15" spans="1:13" ht="15" outlineLevel="1" x14ac:dyDescent="0.25">
      <c r="C15" s="179" t="s">
        <v>35</v>
      </c>
      <c r="D15" s="179"/>
      <c r="E15" s="179"/>
      <c r="F15" s="179"/>
      <c r="G15" s="179"/>
      <c r="H15" s="12"/>
      <c r="I15" s="17" t="str">
        <f>C15</f>
        <v>Header 3</v>
      </c>
      <c r="J15" s="14"/>
      <c r="K15" s="15" t="s">
        <v>35</v>
      </c>
    </row>
    <row r="16" spans="1:13" ht="15" outlineLevel="1" x14ac:dyDescent="0.25">
      <c r="C16" s="179" t="s">
        <v>36</v>
      </c>
      <c r="D16" s="179"/>
      <c r="E16" s="179"/>
      <c r="F16" s="179"/>
      <c r="G16" s="179"/>
      <c r="H16" s="12"/>
      <c r="I16" s="18" t="str">
        <f>C16</f>
        <v>Header 4</v>
      </c>
      <c r="J16" s="14"/>
      <c r="K16" s="15" t="s">
        <v>36</v>
      </c>
    </row>
    <row r="17" spans="2:14" outlineLevel="1" x14ac:dyDescent="0.2">
      <c r="C17" s="179"/>
      <c r="D17" s="179"/>
      <c r="E17" s="179"/>
      <c r="F17" s="179"/>
      <c r="G17" s="179"/>
      <c r="H17" s="12"/>
      <c r="I17" s="12"/>
      <c r="J17" s="14"/>
      <c r="K17" s="16"/>
    </row>
    <row r="18" spans="2:14" ht="15" outlineLevel="1" x14ac:dyDescent="0.25">
      <c r="C18" s="179" t="s">
        <v>37</v>
      </c>
      <c r="D18" s="179"/>
      <c r="E18" s="179"/>
      <c r="F18" s="179"/>
      <c r="G18" s="179"/>
      <c r="H18" s="12"/>
      <c r="I18" s="19" t="str">
        <f>C18</f>
        <v>Notes</v>
      </c>
      <c r="J18" s="14"/>
      <c r="K18" s="15" t="s">
        <v>37</v>
      </c>
    </row>
    <row r="19" spans="2:14" outlineLevel="1" x14ac:dyDescent="0.2">
      <c r="C19" s="179"/>
      <c r="D19" s="179"/>
      <c r="E19" s="179"/>
      <c r="F19" s="179"/>
      <c r="G19" s="179"/>
      <c r="H19" s="12"/>
      <c r="I19" s="12"/>
      <c r="J19" s="14"/>
      <c r="K19" s="16"/>
      <c r="N19" s="19"/>
    </row>
    <row r="20" spans="2:14" ht="15" outlineLevel="1" x14ac:dyDescent="0.25">
      <c r="C20" s="179" t="s">
        <v>38</v>
      </c>
      <c r="D20" s="179"/>
      <c r="E20" s="179"/>
      <c r="F20" s="179"/>
      <c r="G20" s="179"/>
      <c r="H20" s="12"/>
      <c r="I20" s="20" t="str">
        <f>C20</f>
        <v>Table Heading</v>
      </c>
      <c r="J20" s="14"/>
      <c r="K20" s="15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48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182" t="s">
        <v>29</v>
      </c>
      <c r="D25" s="182"/>
      <c r="E25" s="182"/>
      <c r="F25" s="182"/>
      <c r="G25" s="182"/>
      <c r="H25" s="20"/>
      <c r="I25" s="20" t="s">
        <v>30</v>
      </c>
      <c r="J25" s="20"/>
      <c r="K25" s="20" t="s">
        <v>31</v>
      </c>
    </row>
    <row r="26" spans="2:14" ht="15" outlineLevel="1" x14ac:dyDescent="0.25">
      <c r="C26" s="179"/>
      <c r="D26" s="179"/>
      <c r="E26" s="179"/>
      <c r="F26" s="179"/>
      <c r="G26" s="179"/>
      <c r="H26" s="44"/>
      <c r="I26" s="44"/>
      <c r="J26" s="14"/>
      <c r="K26" s="15"/>
    </row>
    <row r="27" spans="2:14" ht="15" outlineLevel="1" x14ac:dyDescent="0.25">
      <c r="C27" s="179" t="s">
        <v>40</v>
      </c>
      <c r="D27" s="179"/>
      <c r="E27" s="179"/>
      <c r="F27" s="179"/>
      <c r="G27" s="179"/>
      <c r="H27" s="12"/>
      <c r="I27" s="21" t="s">
        <v>40</v>
      </c>
      <c r="J27" s="12"/>
      <c r="K27" s="22" t="str">
        <f>C27</f>
        <v>Assumption</v>
      </c>
    </row>
    <row r="28" spans="2:14" ht="15" outlineLevel="1" x14ac:dyDescent="0.25">
      <c r="C28" s="179"/>
      <c r="D28" s="179"/>
      <c r="E28" s="179"/>
      <c r="F28" s="179"/>
      <c r="G28" s="179"/>
      <c r="H28" s="12"/>
      <c r="I28" s="12"/>
      <c r="J28" s="12"/>
      <c r="K28" s="22"/>
    </row>
    <row r="29" spans="2:14" ht="15" outlineLevel="1" x14ac:dyDescent="0.25">
      <c r="C29" s="179" t="s">
        <v>41</v>
      </c>
      <c r="D29" s="179"/>
      <c r="E29" s="179"/>
      <c r="F29" s="179"/>
      <c r="G29" s="179"/>
      <c r="H29" s="12"/>
      <c r="I29" s="23" t="str">
        <f>C29</f>
        <v>Constraint</v>
      </c>
      <c r="J29" s="12"/>
      <c r="K29" s="22" t="str">
        <f>C29</f>
        <v>Constraint</v>
      </c>
    </row>
    <row r="30" spans="2:14" ht="15" outlineLevel="1" x14ac:dyDescent="0.25">
      <c r="C30" s="179"/>
      <c r="D30" s="179"/>
      <c r="E30" s="179"/>
      <c r="F30" s="179"/>
      <c r="G30" s="179"/>
      <c r="H30" s="12"/>
      <c r="I30" s="12"/>
      <c r="J30" s="12"/>
      <c r="K30" s="22"/>
    </row>
    <row r="31" spans="2:14" ht="15" outlineLevel="1" x14ac:dyDescent="0.25">
      <c r="C31" s="181" t="s">
        <v>42</v>
      </c>
      <c r="D31" s="181"/>
      <c r="E31" s="181"/>
      <c r="F31" s="181"/>
      <c r="G31" s="181"/>
      <c r="I31" s="24"/>
      <c r="K31" s="22" t="str">
        <f>C31</f>
        <v>Empty</v>
      </c>
    </row>
    <row r="32" spans="2:14" ht="15" outlineLevel="1" x14ac:dyDescent="0.25">
      <c r="C32" s="181"/>
      <c r="D32" s="181"/>
      <c r="E32" s="181"/>
      <c r="F32" s="181"/>
      <c r="G32" s="181"/>
      <c r="K32" s="22"/>
    </row>
    <row r="33" spans="3:11" ht="15" outlineLevel="1" x14ac:dyDescent="0.25">
      <c r="C33" t="s">
        <v>43</v>
      </c>
      <c r="I33" s="25">
        <v>0</v>
      </c>
      <c r="K33" s="22" t="str">
        <f>C33</f>
        <v>Error Check</v>
      </c>
    </row>
    <row r="34" spans="3:11" ht="15" outlineLevel="1" x14ac:dyDescent="0.25">
      <c r="K34" s="22"/>
    </row>
    <row r="35" spans="3:11" ht="15" outlineLevel="1" x14ac:dyDescent="0.25">
      <c r="C35" s="181" t="s">
        <v>44</v>
      </c>
      <c r="D35" s="181"/>
      <c r="E35" s="181"/>
      <c r="F35" s="181"/>
      <c r="G35" s="181"/>
      <c r="I35" s="10" t="s">
        <v>44</v>
      </c>
      <c r="K35" s="22" t="str">
        <f>C35</f>
        <v>Hyperlink</v>
      </c>
    </row>
    <row r="36" spans="3:11" ht="15" outlineLevel="1" x14ac:dyDescent="0.25">
      <c r="C36" s="181"/>
      <c r="D36" s="181"/>
      <c r="E36" s="181"/>
      <c r="F36" s="181"/>
      <c r="G36" s="181"/>
      <c r="K36" s="22"/>
    </row>
    <row r="37" spans="3:11" ht="15" outlineLevel="1" x14ac:dyDescent="0.25">
      <c r="C37" s="181" t="s">
        <v>45</v>
      </c>
      <c r="D37" s="181"/>
      <c r="E37" s="181"/>
      <c r="F37" s="181"/>
      <c r="G37" s="181"/>
      <c r="I37" s="26" t="str">
        <f>'Error Checks'!E16</f>
        <v>Balance Sheet - balances</v>
      </c>
      <c r="K37" s="22" t="str">
        <f>C37</f>
        <v>Internal Reference</v>
      </c>
    </row>
    <row r="38" spans="3:11" ht="15" outlineLevel="1" x14ac:dyDescent="0.25">
      <c r="C38" s="181"/>
      <c r="D38" s="181"/>
      <c r="E38" s="181"/>
      <c r="F38" s="181"/>
      <c r="G38" s="181"/>
      <c r="K38" s="22"/>
    </row>
    <row r="39" spans="3:11" ht="15" outlineLevel="1" x14ac:dyDescent="0.25">
      <c r="C39" s="181" t="s">
        <v>46</v>
      </c>
      <c r="D39" s="181"/>
      <c r="E39" s="181"/>
      <c r="F39" s="181"/>
      <c r="G39" s="181"/>
      <c r="I39" s="27">
        <v>77</v>
      </c>
      <c r="K39" s="22" t="s">
        <v>47</v>
      </c>
    </row>
    <row r="40" spans="3:11" ht="15" outlineLevel="1" x14ac:dyDescent="0.25">
      <c r="C40" s="181"/>
      <c r="D40" s="181"/>
      <c r="E40" s="181"/>
      <c r="F40" s="181"/>
      <c r="G40" s="181"/>
      <c r="K40" s="22"/>
    </row>
    <row r="41" spans="3:11" ht="15" outlineLevel="1" x14ac:dyDescent="0.25">
      <c r="C41" s="181" t="s">
        <v>48</v>
      </c>
      <c r="D41" s="181"/>
      <c r="E41" s="181"/>
      <c r="F41" s="181"/>
      <c r="G41" s="181"/>
      <c r="I41" s="28">
        <f>I39</f>
        <v>77</v>
      </c>
      <c r="K41" s="22" t="str">
        <f>C41</f>
        <v>Line Total</v>
      </c>
    </row>
    <row r="42" spans="3:11" ht="15" outlineLevel="1" x14ac:dyDescent="0.25">
      <c r="C42" s="181"/>
      <c r="D42" s="181"/>
      <c r="E42" s="181"/>
      <c r="F42" s="181"/>
      <c r="G42" s="181"/>
      <c r="K42" s="22"/>
    </row>
    <row r="43" spans="3:11" ht="15" outlineLevel="1" x14ac:dyDescent="0.25">
      <c r="C43" s="181" t="s">
        <v>49</v>
      </c>
      <c r="D43" s="181"/>
      <c r="E43" s="181"/>
      <c r="F43" s="181"/>
      <c r="G43" s="181"/>
      <c r="I43" s="29">
        <v>365</v>
      </c>
      <c r="K43" s="22" t="str">
        <f>C43</f>
        <v>Parameter</v>
      </c>
    </row>
    <row r="44" spans="3:11" ht="15" outlineLevel="1" x14ac:dyDescent="0.25">
      <c r="C44" s="181"/>
      <c r="D44" s="181"/>
      <c r="E44" s="181"/>
      <c r="F44" s="181"/>
      <c r="G44" s="181"/>
      <c r="K44" s="22"/>
    </row>
    <row r="45" spans="3:11" ht="15" outlineLevel="1" x14ac:dyDescent="0.25">
      <c r="C45" s="181" t="s">
        <v>50</v>
      </c>
      <c r="D45" s="181"/>
      <c r="E45" s="181"/>
      <c r="F45" s="181"/>
      <c r="G45" s="181"/>
      <c r="I45" s="30" t="s">
        <v>51</v>
      </c>
      <c r="K45" s="22" t="str">
        <f>C45</f>
        <v>Range Name Description</v>
      </c>
    </row>
    <row r="46" spans="3:11" ht="15" outlineLevel="1" x14ac:dyDescent="0.25">
      <c r="C46" s="181"/>
      <c r="D46" s="181"/>
      <c r="E46" s="181"/>
      <c r="F46" s="181"/>
      <c r="G46" s="181"/>
      <c r="K46" s="22"/>
    </row>
    <row r="47" spans="3:11" ht="15" outlineLevel="1" x14ac:dyDescent="0.25">
      <c r="C47" s="181" t="s">
        <v>52</v>
      </c>
      <c r="D47" s="181"/>
      <c r="E47" s="181"/>
      <c r="F47" s="181"/>
      <c r="G47" s="181"/>
      <c r="I47" s="31">
        <f>ROW(C47)</f>
        <v>47</v>
      </c>
      <c r="K47" s="22" t="s">
        <v>53</v>
      </c>
    </row>
    <row r="48" spans="3:11" ht="15" outlineLevel="1" x14ac:dyDescent="0.25">
      <c r="C48" s="181"/>
      <c r="D48" s="181"/>
      <c r="E48" s="181"/>
      <c r="F48" s="181"/>
      <c r="G48" s="181"/>
      <c r="K48" s="22"/>
    </row>
    <row r="49" spans="2:13" ht="15" outlineLevel="1" x14ac:dyDescent="0.25">
      <c r="C49" s="181" t="s">
        <v>54</v>
      </c>
      <c r="D49" s="181"/>
      <c r="E49" s="181"/>
      <c r="F49" s="181"/>
      <c r="G49" s="181"/>
      <c r="I49" s="32">
        <f>I41</f>
        <v>77</v>
      </c>
      <c r="K49" s="22" t="str">
        <f>C49</f>
        <v>Row Summary</v>
      </c>
    </row>
    <row r="50" spans="2:13" ht="15" outlineLevel="1" x14ac:dyDescent="0.25">
      <c r="C50" s="181"/>
      <c r="D50" s="181"/>
      <c r="E50" s="181"/>
      <c r="F50" s="181"/>
      <c r="G50" s="181"/>
      <c r="K50" s="22"/>
    </row>
    <row r="51" spans="2:13" ht="15" outlineLevel="1" x14ac:dyDescent="0.25">
      <c r="C51" s="181" t="s">
        <v>55</v>
      </c>
      <c r="D51" s="181"/>
      <c r="E51" s="181"/>
      <c r="F51" s="181"/>
      <c r="G51" s="181"/>
      <c r="I51" s="33" t="str">
        <f>Currency</f>
        <v>US$'000</v>
      </c>
      <c r="K51" s="22" t="str">
        <f>C51</f>
        <v>Units</v>
      </c>
    </row>
    <row r="52" spans="2:13" ht="15" outlineLevel="1" x14ac:dyDescent="0.25">
      <c r="C52" s="181"/>
      <c r="D52" s="181"/>
      <c r="E52" s="181"/>
      <c r="F52" s="181"/>
      <c r="G52" s="181"/>
      <c r="K52" s="22"/>
    </row>
    <row r="53" spans="2:13" ht="15" outlineLevel="1" x14ac:dyDescent="0.25">
      <c r="C53" s="181" t="s">
        <v>56</v>
      </c>
      <c r="D53" s="181"/>
      <c r="E53" s="181"/>
      <c r="F53" s="181"/>
      <c r="G53" s="181"/>
      <c r="I53" s="34"/>
      <c r="K53" s="22" t="str">
        <f>C53</f>
        <v>WIP</v>
      </c>
    </row>
    <row r="54" spans="2:13" ht="15" outlineLevel="1" x14ac:dyDescent="0.25">
      <c r="C54" s="181"/>
      <c r="D54" s="181"/>
      <c r="E54" s="181"/>
      <c r="F54" s="181"/>
      <c r="G54" s="181"/>
      <c r="K54" s="22"/>
    </row>
    <row r="55" spans="2:13" outlineLevel="1" x14ac:dyDescent="0.2">
      <c r="C55" s="181"/>
      <c r="D55" s="181"/>
      <c r="E55" s="181"/>
      <c r="F55" s="181"/>
      <c r="G55" s="181"/>
    </row>
    <row r="56" spans="2:13" ht="16.5" thickBot="1" x14ac:dyDescent="0.3">
      <c r="B56" s="48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180" t="s">
        <v>29</v>
      </c>
      <c r="D58" s="180"/>
      <c r="E58" s="180"/>
      <c r="F58" s="180"/>
      <c r="G58" s="180"/>
      <c r="H58" s="11"/>
      <c r="I58" s="11" t="s">
        <v>30</v>
      </c>
      <c r="J58" s="11"/>
      <c r="K58" s="11" t="s">
        <v>31</v>
      </c>
    </row>
    <row r="59" spans="2:13" outlineLevel="1" x14ac:dyDescent="0.2"/>
    <row r="60" spans="2:13" ht="15" outlineLevel="1" x14ac:dyDescent="0.25">
      <c r="C60" s="181" t="s">
        <v>58</v>
      </c>
      <c r="D60" s="181"/>
      <c r="E60" s="181"/>
      <c r="F60" s="181"/>
      <c r="G60" s="181"/>
      <c r="I60" s="51">
        <v>123456.789</v>
      </c>
      <c r="K60" s="22" t="str">
        <f t="shared" ref="K60:K66" si="0">C60</f>
        <v>Comma</v>
      </c>
    </row>
    <row r="61" spans="2:13" ht="15" outlineLevel="1" x14ac:dyDescent="0.25">
      <c r="C61" s="181"/>
      <c r="D61" s="181"/>
      <c r="E61" s="181"/>
      <c r="F61" s="181"/>
      <c r="G61" s="181"/>
      <c r="K61" s="22"/>
    </row>
    <row r="62" spans="2:13" ht="15" outlineLevel="1" x14ac:dyDescent="0.25">
      <c r="C62" s="181" t="s">
        <v>59</v>
      </c>
      <c r="D62" s="181"/>
      <c r="E62" s="181"/>
      <c r="F62" s="181"/>
      <c r="G62" s="181"/>
      <c r="I62" s="50">
        <v>-123456.789</v>
      </c>
      <c r="K62" s="22" t="str">
        <f t="shared" si="0"/>
        <v>Comma [0]</v>
      </c>
    </row>
    <row r="63" spans="2:13" ht="15" outlineLevel="1" x14ac:dyDescent="0.25">
      <c r="C63" s="181"/>
      <c r="D63" s="181"/>
      <c r="E63" s="181"/>
      <c r="F63" s="181"/>
      <c r="G63" s="181"/>
      <c r="K63" s="22"/>
    </row>
    <row r="64" spans="2:13" ht="15" outlineLevel="1" x14ac:dyDescent="0.25">
      <c r="C64" s="181" t="s">
        <v>60</v>
      </c>
      <c r="D64" s="181"/>
      <c r="E64" s="181"/>
      <c r="F64" s="181"/>
      <c r="G64" s="181"/>
      <c r="I64" s="52">
        <v>123456.789</v>
      </c>
      <c r="K64" s="22" t="str">
        <f t="shared" si="0"/>
        <v>Currency</v>
      </c>
    </row>
    <row r="65" spans="3:11" ht="15" outlineLevel="1" x14ac:dyDescent="0.25">
      <c r="C65" s="181"/>
      <c r="D65" s="181"/>
      <c r="E65" s="181"/>
      <c r="F65" s="181"/>
      <c r="G65" s="181"/>
      <c r="K65" s="22"/>
    </row>
    <row r="66" spans="3:11" ht="15" outlineLevel="1" x14ac:dyDescent="0.25">
      <c r="C66" s="181" t="s">
        <v>61</v>
      </c>
      <c r="D66" s="181"/>
      <c r="E66" s="181"/>
      <c r="F66" s="181"/>
      <c r="G66" s="181"/>
      <c r="I66" s="53">
        <v>123456.789</v>
      </c>
      <c r="K66" s="22" t="str">
        <f t="shared" si="0"/>
        <v>Currency [0]</v>
      </c>
    </row>
    <row r="67" spans="3:11" ht="15" outlineLevel="1" x14ac:dyDescent="0.25">
      <c r="C67" s="181"/>
      <c r="D67" s="181"/>
      <c r="E67" s="181"/>
      <c r="F67" s="181"/>
      <c r="G67" s="181"/>
      <c r="K67" s="22"/>
    </row>
    <row r="68" spans="3:11" ht="15" outlineLevel="1" x14ac:dyDescent="0.25">
      <c r="C68" s="179" t="s">
        <v>62</v>
      </c>
      <c r="D68" s="179"/>
      <c r="E68" s="179"/>
      <c r="F68" s="179"/>
      <c r="G68" s="179"/>
      <c r="H68" s="12"/>
      <c r="I68" s="54">
        <f ca="1">TODAY()</f>
        <v>43978</v>
      </c>
      <c r="J68" s="12"/>
      <c r="K68" s="22" t="str">
        <f>C68</f>
        <v>Date</v>
      </c>
    </row>
    <row r="69" spans="3:11" ht="15" outlineLevel="1" x14ac:dyDescent="0.25">
      <c r="C69" s="179"/>
      <c r="D69" s="179"/>
      <c r="E69" s="179"/>
      <c r="F69" s="179"/>
      <c r="G69" s="179"/>
      <c r="H69" s="12"/>
      <c r="I69" s="12"/>
      <c r="J69" s="12"/>
      <c r="K69" s="22"/>
    </row>
    <row r="70" spans="3:11" ht="15" outlineLevel="1" x14ac:dyDescent="0.25">
      <c r="C70" s="179" t="s">
        <v>63</v>
      </c>
      <c r="D70" s="179"/>
      <c r="E70" s="179"/>
      <c r="F70" s="179"/>
      <c r="G70" s="179"/>
      <c r="H70" s="12"/>
      <c r="I70" s="55">
        <f ca="1">TODAY()</f>
        <v>43978</v>
      </c>
      <c r="J70" s="12"/>
      <c r="K70" s="22" t="str">
        <f>C70</f>
        <v>Date Heading</v>
      </c>
    </row>
    <row r="71" spans="3:11" ht="15" outlineLevel="1" x14ac:dyDescent="0.25">
      <c r="C71" s="181"/>
      <c r="D71" s="181"/>
      <c r="E71" s="181"/>
      <c r="F71" s="181"/>
      <c r="G71" s="181"/>
      <c r="K71" s="22"/>
    </row>
    <row r="72" spans="3:11" ht="15" outlineLevel="1" x14ac:dyDescent="0.25">
      <c r="C72" s="181" t="s">
        <v>64</v>
      </c>
      <c r="D72" s="181"/>
      <c r="E72" s="181"/>
      <c r="F72" s="181"/>
      <c r="G72" s="181"/>
      <c r="I72" s="36">
        <v>-123456.789</v>
      </c>
      <c r="K72" s="22" t="str">
        <f>C72</f>
        <v>Numbers 0</v>
      </c>
    </row>
    <row r="73" spans="3:11" ht="15" outlineLevel="1" x14ac:dyDescent="0.25">
      <c r="C73" s="181"/>
      <c r="D73" s="181"/>
      <c r="E73" s="181"/>
      <c r="F73" s="181"/>
      <c r="G73" s="181"/>
      <c r="K73" s="22"/>
    </row>
    <row r="74" spans="3:11" ht="15" outlineLevel="1" x14ac:dyDescent="0.25">
      <c r="C74" s="181" t="s">
        <v>65</v>
      </c>
      <c r="D74" s="181"/>
      <c r="E74" s="181"/>
      <c r="F74" s="181"/>
      <c r="G74" s="181"/>
      <c r="I74" s="37">
        <v>0.5</v>
      </c>
      <c r="K74" s="22" t="str">
        <f>C74</f>
        <v>Percent</v>
      </c>
    </row>
    <row r="75" spans="3:11" outlineLevel="1" x14ac:dyDescent="0.2">
      <c r="C75" s="181"/>
      <c r="D75" s="181"/>
      <c r="E75" s="181"/>
      <c r="F75" s="181"/>
      <c r="G75" s="181"/>
    </row>
    <row r="76" spans="3:11" outlineLevel="1" x14ac:dyDescent="0.2">
      <c r="C76" s="181"/>
      <c r="D76" s="181"/>
      <c r="E76" s="181"/>
      <c r="F76" s="181"/>
      <c r="G76" s="181"/>
    </row>
    <row r="77" spans="3:11" x14ac:dyDescent="0.2">
      <c r="C77" s="181"/>
      <c r="D77" s="181"/>
      <c r="E77" s="181"/>
      <c r="F77" s="181"/>
      <c r="G77" s="181"/>
    </row>
    <row r="78" spans="3:11" x14ac:dyDescent="0.2">
      <c r="C78" s="181"/>
      <c r="D78" s="181"/>
      <c r="E78" s="181"/>
      <c r="F78" s="181"/>
      <c r="G78" s="181"/>
    </row>
    <row r="79" spans="3:11" x14ac:dyDescent="0.2">
      <c r="C79" s="181"/>
      <c r="D79" s="181"/>
      <c r="E79" s="181"/>
      <c r="F79" s="181"/>
      <c r="G79" s="181"/>
    </row>
    <row r="80" spans="3:11" x14ac:dyDescent="0.2">
      <c r="C80" s="181"/>
      <c r="D80" s="181"/>
      <c r="E80" s="181"/>
      <c r="F80" s="181"/>
      <c r="G80" s="181"/>
    </row>
    <row r="81" spans="3:7" x14ac:dyDescent="0.2">
      <c r="C81" s="181"/>
      <c r="D81" s="181"/>
      <c r="E81" s="181"/>
      <c r="F81" s="181"/>
      <c r="G81" s="181"/>
    </row>
  </sheetData>
  <mergeCells count="65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26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XEZ58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style="92" customWidth="1"/>
    <col min="6" max="6" width="16.28515625" style="92" customWidth="1"/>
    <col min="7" max="7" width="14.42578125" style="92" customWidth="1"/>
    <col min="8" max="8" width="3" style="92" customWidth="1"/>
    <col min="9" max="9" width="9.140625" style="92" customWidth="1"/>
    <col min="10" max="14" width="1.7109375" style="92" customWidth="1"/>
    <col min="15" max="15" width="9.140625" style="92" customWidth="1"/>
    <col min="16" max="16" width="1.7109375" style="92" customWidth="1"/>
    <col min="17" max="16380" width="9.140625" style="92" hidden="1"/>
    <col min="16381" max="16384" width="0.140625" style="92" customWidth="1"/>
  </cols>
  <sheetData>
    <row r="1" spans="1:15" ht="20.25" x14ac:dyDescent="0.3">
      <c r="A1" s="46" t="str">
        <f ca="1">IFERROR(RIGHT(CELL("filename",A1),LEN(CELL("filename",A1))-FIND("]",CELL("filename",A1))),"")</f>
        <v>Model Parameters</v>
      </c>
      <c r="J1" s="183"/>
      <c r="K1" s="183"/>
    </row>
    <row r="2" spans="1:15" ht="18" x14ac:dyDescent="0.25">
      <c r="A2" s="47" t="str">
        <f ca="1">Model_Name</f>
        <v>Chapter 7.1 - SP Case Study Model vLB1.01.xlsx</v>
      </c>
    </row>
    <row r="3" spans="1:15" x14ac:dyDescent="0.2">
      <c r="A3" s="176" t="s">
        <v>1</v>
      </c>
      <c r="B3" s="125"/>
      <c r="C3" s="125"/>
      <c r="D3" s="125"/>
      <c r="E3" s="125"/>
    </row>
    <row r="4" spans="1:15" x14ac:dyDescent="0.2">
      <c r="A4" s="92" t="str">
        <f>Timing!A4</f>
        <v>Error Checks:</v>
      </c>
      <c r="I4" s="123">
        <f ca="1">Overall_Error_Check</f>
        <v>0</v>
      </c>
    </row>
    <row r="6" spans="1:15" ht="16.5" thickBot="1" x14ac:dyDescent="0.3">
      <c r="B6" s="48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2.75" outlineLevel="1" thickTop="1" x14ac:dyDescent="0.2"/>
    <row r="8" spans="1:15" ht="16.5" outlineLevel="1" x14ac:dyDescent="0.25">
      <c r="C8" s="63" t="s">
        <v>4</v>
      </c>
    </row>
    <row r="9" spans="1:15" outlineLevel="1" x14ac:dyDescent="0.2">
      <c r="C9" s="127"/>
    </row>
    <row r="10" spans="1:15" ht="15" outlineLevel="1" x14ac:dyDescent="0.25">
      <c r="C10" s="127"/>
      <c r="D10" s="5" t="s">
        <v>3</v>
      </c>
    </row>
    <row r="11" spans="1:15" ht="15" outlineLevel="1" x14ac:dyDescent="0.25">
      <c r="C11" s="127"/>
      <c r="D11" s="5"/>
    </row>
    <row r="12" spans="1:15" outlineLevel="1" x14ac:dyDescent="0.2">
      <c r="E12" s="92" t="s">
        <v>5</v>
      </c>
      <c r="G12" s="184" t="str">
        <f ca="1">IFERROR(MID(CELL("filename",A1),FIND("[",CELL("filename",A1))+1,FIND("]",CELL("filename",A1))-FIND("[",CELL("filename",A1))-1),””)</f>
        <v>Chapter 7.1 - SP Case Study Model vLB1.01.xlsx</v>
      </c>
      <c r="H12" s="185"/>
      <c r="I12" s="185"/>
      <c r="J12" s="185"/>
      <c r="K12" s="185"/>
      <c r="L12" s="185"/>
      <c r="M12" s="185"/>
      <c r="N12" s="186"/>
    </row>
    <row r="13" spans="1:15" outlineLevel="1" x14ac:dyDescent="0.2">
      <c r="E13" s="92" t="s">
        <v>6</v>
      </c>
      <c r="G13" s="187" t="s">
        <v>69</v>
      </c>
      <c r="H13" s="187"/>
      <c r="I13" s="187"/>
      <c r="J13" s="187"/>
      <c r="K13" s="187"/>
      <c r="L13" s="187"/>
      <c r="M13" s="187"/>
      <c r="N13" s="187"/>
    </row>
    <row r="14" spans="1:15" outlineLevel="1" x14ac:dyDescent="0.2"/>
    <row r="15" spans="1:15" outlineLevel="1" x14ac:dyDescent="0.2"/>
    <row r="16" spans="1:15" ht="16.5" thickBot="1" x14ac:dyDescent="0.3">
      <c r="B16" s="48">
        <f>MAX($B$5:$B15)+1</f>
        <v>2</v>
      </c>
      <c r="C16" s="3" t="s">
        <v>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3:9" ht="12.75" outlineLevel="1" thickTop="1" x14ac:dyDescent="0.2"/>
    <row r="18" spans="3:9" ht="16.5" outlineLevel="1" x14ac:dyDescent="0.25">
      <c r="C18" s="63" t="s">
        <v>8</v>
      </c>
    </row>
    <row r="19" spans="3:9" outlineLevel="1" x14ac:dyDescent="0.2"/>
    <row r="20" spans="3:9" outlineLevel="1" x14ac:dyDescent="0.2">
      <c r="E20" s="92" t="s">
        <v>9</v>
      </c>
      <c r="G20" s="128">
        <v>365</v>
      </c>
      <c r="I20" s="19" t="s">
        <v>333</v>
      </c>
    </row>
    <row r="21" spans="3:9" outlineLevel="1" x14ac:dyDescent="0.2">
      <c r="E21" s="92" t="s">
        <v>10</v>
      </c>
      <c r="G21" s="128">
        <v>1</v>
      </c>
      <c r="I21" s="19" t="s">
        <v>334</v>
      </c>
    </row>
    <row r="22" spans="3:9" outlineLevel="1" x14ac:dyDescent="0.2">
      <c r="E22" s="92" t="s">
        <v>11</v>
      </c>
      <c r="G22" s="128">
        <v>3</v>
      </c>
      <c r="I22" s="19" t="s">
        <v>335</v>
      </c>
    </row>
    <row r="23" spans="3:9" outlineLevel="1" x14ac:dyDescent="0.2">
      <c r="E23" s="92" t="s">
        <v>12</v>
      </c>
      <c r="G23" s="128">
        <v>6</v>
      </c>
      <c r="I23" s="19" t="s">
        <v>336</v>
      </c>
    </row>
    <row r="24" spans="3:9" outlineLevel="1" x14ac:dyDescent="0.2">
      <c r="E24" s="92" t="s">
        <v>13</v>
      </c>
      <c r="G24" s="128">
        <v>12</v>
      </c>
      <c r="I24" s="19" t="s">
        <v>337</v>
      </c>
    </row>
    <row r="25" spans="3:9" outlineLevel="1" x14ac:dyDescent="0.2">
      <c r="E25" s="92" t="s">
        <v>14</v>
      </c>
      <c r="G25" s="128">
        <v>4</v>
      </c>
      <c r="I25" s="19" t="s">
        <v>338</v>
      </c>
    </row>
    <row r="26" spans="3:9" outlineLevel="1" x14ac:dyDescent="0.2">
      <c r="I26" s="19"/>
    </row>
    <row r="27" spans="3:9" outlineLevel="1" x14ac:dyDescent="0.2">
      <c r="E27" s="92" t="s">
        <v>15</v>
      </c>
      <c r="G27" s="128">
        <v>5</v>
      </c>
      <c r="I27" s="19" t="s">
        <v>339</v>
      </c>
    </row>
    <row r="28" spans="3:9" outlineLevel="1" x14ac:dyDescent="0.2">
      <c r="I28" s="19"/>
    </row>
    <row r="29" spans="3:9" outlineLevel="1" x14ac:dyDescent="0.2">
      <c r="E29" s="92" t="s">
        <v>16</v>
      </c>
      <c r="G29" s="129">
        <v>9.9999999999999997E+98</v>
      </c>
      <c r="I29" s="19" t="s">
        <v>340</v>
      </c>
    </row>
    <row r="30" spans="3:9" outlineLevel="1" x14ac:dyDescent="0.2">
      <c r="E30" s="92" t="s">
        <v>17</v>
      </c>
      <c r="G30" s="129">
        <v>1E-8</v>
      </c>
      <c r="I30" s="19" t="s">
        <v>341</v>
      </c>
    </row>
    <row r="31" spans="3:9" outlineLevel="1" x14ac:dyDescent="0.2">
      <c r="I31" s="19"/>
    </row>
    <row r="32" spans="3:9" outlineLevel="1" x14ac:dyDescent="0.2">
      <c r="E32" s="92" t="s">
        <v>18</v>
      </c>
      <c r="G32" s="128">
        <v>1000</v>
      </c>
      <c r="I32" s="19" t="s">
        <v>18</v>
      </c>
    </row>
    <row r="33" spans="2:15" outlineLevel="1" x14ac:dyDescent="0.2"/>
    <row r="34" spans="2:15" outlineLevel="1" x14ac:dyDescent="0.2"/>
    <row r="35" spans="2:15" ht="16.5" outlineLevel="1" thickBot="1" x14ac:dyDescent="0.3">
      <c r="B35" s="48">
        <f>MAX($B$5:$B34)+1</f>
        <v>3</v>
      </c>
      <c r="C35" s="3" t="s">
        <v>98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5" ht="12.75" thickTop="1" x14ac:dyDescent="0.2"/>
    <row r="37" spans="2:15" ht="16.5" x14ac:dyDescent="0.25">
      <c r="C37" s="63" t="s">
        <v>99</v>
      </c>
    </row>
    <row r="39" spans="2:15" x14ac:dyDescent="0.2">
      <c r="E39" s="92" t="s">
        <v>71</v>
      </c>
      <c r="G39" s="130">
        <f>Model_Start_Date</f>
        <v>44013</v>
      </c>
    </row>
    <row r="40" spans="2:15" x14ac:dyDescent="0.2">
      <c r="G40" s="131"/>
    </row>
    <row r="41" spans="2:15" x14ac:dyDescent="0.2">
      <c r="G41" s="131"/>
    </row>
    <row r="42" spans="2:15" ht="16.5" x14ac:dyDescent="0.25">
      <c r="C42" s="63" t="s">
        <v>55</v>
      </c>
    </row>
    <row r="44" spans="2:15" x14ac:dyDescent="0.2">
      <c r="E44" s="92" t="s">
        <v>237</v>
      </c>
      <c r="G44" s="128" t="s">
        <v>317</v>
      </c>
      <c r="I44" s="19" t="s">
        <v>237</v>
      </c>
    </row>
    <row r="45" spans="2:15" x14ac:dyDescent="0.2">
      <c r="E45" s="92" t="s">
        <v>60</v>
      </c>
      <c r="G45" s="128" t="s">
        <v>298</v>
      </c>
      <c r="I45" s="19" t="s">
        <v>60</v>
      </c>
    </row>
    <row r="46" spans="2:15" x14ac:dyDescent="0.2">
      <c r="E46" s="92" t="s">
        <v>100</v>
      </c>
      <c r="G46" s="128" t="s">
        <v>105</v>
      </c>
      <c r="I46" s="19" t="s">
        <v>100</v>
      </c>
    </row>
    <row r="47" spans="2:15" x14ac:dyDescent="0.2">
      <c r="E47" s="92" t="s">
        <v>101</v>
      </c>
      <c r="G47" s="128" t="s">
        <v>106</v>
      </c>
      <c r="I47" s="19" t="s">
        <v>101</v>
      </c>
    </row>
    <row r="48" spans="2:15" x14ac:dyDescent="0.2">
      <c r="E48" s="92" t="s">
        <v>299</v>
      </c>
      <c r="G48" s="128" t="s">
        <v>107</v>
      </c>
      <c r="I48" s="19" t="s">
        <v>342</v>
      </c>
    </row>
    <row r="49" spans="3:9" x14ac:dyDescent="0.2">
      <c r="E49" s="92" t="s">
        <v>102</v>
      </c>
      <c r="G49" s="128" t="s">
        <v>102</v>
      </c>
      <c r="I49" s="19" t="s">
        <v>102</v>
      </c>
    </row>
    <row r="50" spans="3:9" x14ac:dyDescent="0.2">
      <c r="E50" s="92" t="s">
        <v>300</v>
      </c>
      <c r="G50" s="128" t="s">
        <v>108</v>
      </c>
      <c r="I50" s="19" t="s">
        <v>343</v>
      </c>
    </row>
    <row r="51" spans="3:9" x14ac:dyDescent="0.2">
      <c r="E51" s="92" t="s">
        <v>103</v>
      </c>
      <c r="G51" s="128" t="s">
        <v>109</v>
      </c>
      <c r="I51" s="19" t="s">
        <v>103</v>
      </c>
    </row>
    <row r="52" spans="3:9" x14ac:dyDescent="0.2">
      <c r="I52" s="19"/>
    </row>
    <row r="53" spans="3:9" x14ac:dyDescent="0.2">
      <c r="I53" s="19"/>
    </row>
    <row r="54" spans="3:9" ht="16.5" x14ac:dyDescent="0.25">
      <c r="C54" s="63" t="s">
        <v>301</v>
      </c>
      <c r="I54" s="19"/>
    </row>
    <row r="55" spans="3:9" x14ac:dyDescent="0.2">
      <c r="I55" s="19"/>
    </row>
    <row r="56" spans="3:9" x14ac:dyDescent="0.2">
      <c r="E56" s="92" t="s">
        <v>288</v>
      </c>
      <c r="G56" s="128" t="s">
        <v>110</v>
      </c>
      <c r="I56" s="19" t="s">
        <v>344</v>
      </c>
    </row>
    <row r="57" spans="3:9" x14ac:dyDescent="0.2">
      <c r="E57" s="92" t="s">
        <v>289</v>
      </c>
      <c r="G57" s="128" t="s">
        <v>111</v>
      </c>
      <c r="I57" s="19" t="s">
        <v>345</v>
      </c>
    </row>
    <row r="58" spans="3:9" x14ac:dyDescent="0.2">
      <c r="E58" s="92" t="s">
        <v>290</v>
      </c>
      <c r="G58" s="128" t="s">
        <v>112</v>
      </c>
      <c r="I58" s="19" t="s">
        <v>346</v>
      </c>
    </row>
  </sheetData>
  <sheetProtection formatColumns="0" formatRows="0"/>
  <mergeCells count="3">
    <mergeCell ref="J1:K1"/>
    <mergeCell ref="G12:N12"/>
    <mergeCell ref="G13:N13"/>
  </mergeCells>
  <conditionalFormatting sqref="I4">
    <cfRule type="cellIs" dxfId="25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outlinePr summaryBelow="0" summaryRight="0"/>
  </sheetPr>
  <dimension ref="A1:O128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4" width="3.7109375" style="73" customWidth="1"/>
    <col min="5" max="5" width="27.85546875" style="73" bestFit="1" customWidth="1"/>
    <col min="6" max="6" width="1.7109375" style="16" customWidth="1"/>
    <col min="8" max="8" width="9.140625" style="60"/>
    <col min="9" max="9" width="9.140625" style="60" customWidth="1"/>
  </cols>
  <sheetData>
    <row r="1" spans="1:15" ht="20.25" x14ac:dyDescent="0.3">
      <c r="A1" s="46" t="str">
        <f ca="1">IFERROR(RIGHT(CELL("filename",A1),LEN(CELL("filename",A1))-FIND("]",CELL("filename",A1))),"")</f>
        <v>General Assumptions</v>
      </c>
      <c r="G1" s="60"/>
    </row>
    <row r="2" spans="1:15" ht="18" x14ac:dyDescent="0.25">
      <c r="A2" s="74" t="str">
        <f ca="1">Model_Name</f>
        <v>Chapter 7.1 - SP Case Study Model vLB1.01.xlsx</v>
      </c>
      <c r="G2" s="60"/>
    </row>
    <row r="3" spans="1:15" x14ac:dyDescent="0.2">
      <c r="A3" s="176" t="s">
        <v>1</v>
      </c>
      <c r="B3" s="75"/>
      <c r="C3" s="75"/>
      <c r="D3" s="75"/>
      <c r="E3" s="75"/>
      <c r="G3" s="60"/>
    </row>
    <row r="4" spans="1:15" s="82" customFormat="1" ht="14.25" x14ac:dyDescent="0.2">
      <c r="A4" s="73" t="str">
        <f>Timing!A4</f>
        <v>Error Checks:</v>
      </c>
      <c r="C4" s="73"/>
      <c r="D4" s="75"/>
      <c r="E4" s="75"/>
      <c r="F4" s="16"/>
      <c r="G4" s="65">
        <f ca="1">Overall_Error_Check</f>
        <v>0</v>
      </c>
    </row>
    <row r="5" spans="1:15" s="82" customFormat="1" collapsed="1" x14ac:dyDescent="0.2">
      <c r="A5" s="81"/>
      <c r="B5" s="75"/>
      <c r="C5" s="73"/>
      <c r="D5" s="75"/>
      <c r="E5" s="75"/>
      <c r="F5" s="16"/>
      <c r="J5" s="40">
        <f>Timing!J5</f>
        <v>44377</v>
      </c>
      <c r="K5" s="40">
        <f>Timing!K5</f>
        <v>44742</v>
      </c>
      <c r="L5" s="40">
        <f>Timing!L5</f>
        <v>45107</v>
      </c>
      <c r="M5" s="40">
        <f>Timing!M5</f>
        <v>45473</v>
      </c>
      <c r="N5" s="40">
        <f>Timing!N5</f>
        <v>45838</v>
      </c>
    </row>
    <row r="6" spans="1:15" s="60" customFormat="1" hidden="1" outlineLevel="1" x14ac:dyDescent="0.2">
      <c r="A6" s="75"/>
      <c r="B6" s="75"/>
      <c r="C6" s="73" t="str">
        <f>Timing!C6</f>
        <v>Start Date</v>
      </c>
      <c r="D6" s="75"/>
      <c r="E6" s="75"/>
      <c r="F6" s="16"/>
      <c r="J6" s="39">
        <f>Timing!J6</f>
        <v>44013</v>
      </c>
      <c r="K6" s="39">
        <f>Timing!K6</f>
        <v>44378</v>
      </c>
      <c r="L6" s="39">
        <f>Timing!L6</f>
        <v>44743</v>
      </c>
      <c r="M6" s="39">
        <f>Timing!M6</f>
        <v>45108</v>
      </c>
      <c r="N6" s="39">
        <f>Timing!N6</f>
        <v>45474</v>
      </c>
    </row>
    <row r="7" spans="1:15" s="60" customFormat="1" hidden="1" outlineLevel="1" x14ac:dyDescent="0.2">
      <c r="A7" s="75"/>
      <c r="B7" s="75"/>
      <c r="C7" s="73" t="str">
        <f>Timing!C7</f>
        <v>End Date</v>
      </c>
      <c r="D7" s="75"/>
      <c r="E7" s="75"/>
      <c r="F7" s="16"/>
      <c r="J7" s="39">
        <f>Timing!J7</f>
        <v>44377</v>
      </c>
      <c r="K7" s="39">
        <f>Timing!K7</f>
        <v>44742</v>
      </c>
      <c r="L7" s="39">
        <f>Timing!L7</f>
        <v>45107</v>
      </c>
      <c r="M7" s="39">
        <f>Timing!M7</f>
        <v>45473</v>
      </c>
      <c r="N7" s="39">
        <f>Timing!N7</f>
        <v>45838</v>
      </c>
    </row>
    <row r="8" spans="1:15" s="82" customFormat="1" hidden="1" outlineLevel="1" x14ac:dyDescent="0.2">
      <c r="A8" s="75"/>
      <c r="B8" s="75"/>
      <c r="C8" s="73" t="str">
        <f>Timing!C8</f>
        <v>Number of Days</v>
      </c>
      <c r="D8" s="75"/>
      <c r="E8" s="75"/>
      <c r="F8" s="16"/>
      <c r="J8" s="35">
        <f>Timing!J8</f>
        <v>365</v>
      </c>
      <c r="K8" s="35">
        <f>Timing!K8</f>
        <v>365</v>
      </c>
      <c r="L8" s="35">
        <f>Timing!L8</f>
        <v>365</v>
      </c>
      <c r="M8" s="35">
        <f>Timing!M8</f>
        <v>366</v>
      </c>
      <c r="N8" s="35">
        <f>Timing!N8</f>
        <v>365</v>
      </c>
    </row>
    <row r="9" spans="1:15" s="60" customFormat="1" hidden="1" outlineLevel="1" x14ac:dyDescent="0.2">
      <c r="A9" s="75"/>
      <c r="B9" s="75"/>
      <c r="C9" s="73" t="str">
        <f>Timing!C9</f>
        <v>Counter</v>
      </c>
      <c r="D9" s="75"/>
      <c r="E9" s="75"/>
      <c r="F9" s="16"/>
      <c r="J9" s="35">
        <f>Timing!J9</f>
        <v>1</v>
      </c>
      <c r="K9" s="35">
        <f>Timing!K9</f>
        <v>2</v>
      </c>
      <c r="L9" s="35">
        <f>Timing!L9</f>
        <v>3</v>
      </c>
      <c r="M9" s="35">
        <f>Timing!M9</f>
        <v>4</v>
      </c>
      <c r="N9" s="35">
        <f>Timing!N9</f>
        <v>5</v>
      </c>
    </row>
    <row r="10" spans="1:15" x14ac:dyDescent="0.2">
      <c r="F10" s="73"/>
      <c r="G10" s="59"/>
      <c r="J10" s="35"/>
      <c r="K10" s="35"/>
      <c r="L10" s="35"/>
      <c r="M10" s="35"/>
      <c r="N10" s="35"/>
    </row>
    <row r="11" spans="1:15" s="60" customFormat="1" ht="16.5" thickBot="1" x14ac:dyDescent="0.3">
      <c r="A11" s="73"/>
      <c r="B11" s="76">
        <f>MAX($B$10:$B10)+1</f>
        <v>1</v>
      </c>
      <c r="C11" s="77" t="str">
        <f ca="1">A1</f>
        <v>General Assumptions</v>
      </c>
      <c r="D11" s="77"/>
      <c r="E11" s="77"/>
      <c r="F11" s="77"/>
      <c r="G11" s="3"/>
      <c r="H11" s="3"/>
      <c r="I11" s="3"/>
      <c r="J11" s="3"/>
      <c r="K11" s="3"/>
      <c r="L11" s="3"/>
      <c r="M11" s="3"/>
      <c r="N11" s="3"/>
      <c r="O11" s="3"/>
    </row>
    <row r="12" spans="1:15" s="60" customFormat="1" ht="12.75" thickTop="1" x14ac:dyDescent="0.2">
      <c r="A12" s="73"/>
      <c r="B12" s="73"/>
      <c r="C12" s="73"/>
      <c r="D12" s="73"/>
      <c r="E12" s="73"/>
      <c r="F12" s="73"/>
      <c r="G12" s="59"/>
    </row>
    <row r="13" spans="1:15" ht="16.5" x14ac:dyDescent="0.25">
      <c r="C13" s="78" t="s">
        <v>302</v>
      </c>
      <c r="F13" s="73"/>
      <c r="G13" s="59"/>
      <c r="J13" s="60"/>
    </row>
    <row r="14" spans="1:15" x14ac:dyDescent="0.2">
      <c r="F14" s="73"/>
      <c r="G14" s="59"/>
      <c r="J14" s="60"/>
    </row>
    <row r="15" spans="1:15" ht="15" x14ac:dyDescent="0.25">
      <c r="D15" s="79" t="s">
        <v>113</v>
      </c>
      <c r="F15" s="64"/>
      <c r="J15" s="60"/>
    </row>
    <row r="16" spans="1:15" s="61" customFormat="1" ht="15" x14ac:dyDescent="0.25">
      <c r="A16" s="73"/>
      <c r="B16" s="73"/>
      <c r="C16" s="73"/>
      <c r="D16" s="79"/>
      <c r="E16" s="73"/>
      <c r="F16" s="64"/>
    </row>
    <row r="17" spans="1:14" x14ac:dyDescent="0.2">
      <c r="E17" s="73" t="s">
        <v>159</v>
      </c>
      <c r="G17" s="64" t="str">
        <f>Currency</f>
        <v>US$'000</v>
      </c>
      <c r="J17" s="86">
        <v>400</v>
      </c>
      <c r="K17" s="24"/>
      <c r="L17" s="24"/>
      <c r="M17" s="24"/>
      <c r="N17" s="24"/>
    </row>
    <row r="18" spans="1:14" x14ac:dyDescent="0.2">
      <c r="E18" s="73" t="s">
        <v>160</v>
      </c>
      <c r="G18" s="64" t="str">
        <f>Percentage</f>
        <v>%</v>
      </c>
      <c r="J18" s="24"/>
      <c r="K18" s="87">
        <v>0.12</v>
      </c>
      <c r="L18" s="87">
        <v>0.1</v>
      </c>
      <c r="M18" s="87">
        <v>0.08</v>
      </c>
      <c r="N18" s="87">
        <v>0.05</v>
      </c>
    </row>
    <row r="19" spans="1:14" x14ac:dyDescent="0.2">
      <c r="G19" s="64"/>
      <c r="J19" s="60"/>
    </row>
    <row r="20" spans="1:14" ht="15" x14ac:dyDescent="0.25">
      <c r="D20" s="79" t="s">
        <v>128</v>
      </c>
      <c r="G20" s="64"/>
      <c r="J20" s="60"/>
    </row>
    <row r="21" spans="1:14" s="61" customFormat="1" ht="15" x14ac:dyDescent="0.25">
      <c r="A21" s="73"/>
      <c r="B21" s="73"/>
      <c r="C21" s="73"/>
      <c r="D21" s="79"/>
      <c r="E21" s="73"/>
      <c r="G21" s="64"/>
    </row>
    <row r="22" spans="1:14" x14ac:dyDescent="0.2">
      <c r="E22" s="73" t="s">
        <v>303</v>
      </c>
      <c r="G22" s="64" t="str">
        <f>No_of_Days</f>
        <v># Days</v>
      </c>
      <c r="J22" s="86">
        <v>60</v>
      </c>
      <c r="K22" s="86">
        <v>60</v>
      </c>
      <c r="L22" s="86">
        <v>60</v>
      </c>
      <c r="M22" s="86">
        <v>60</v>
      </c>
      <c r="N22" s="86">
        <v>60</v>
      </c>
    </row>
    <row r="23" spans="1:14" x14ac:dyDescent="0.2">
      <c r="G23" s="64"/>
      <c r="J23" s="60"/>
    </row>
    <row r="24" spans="1:14" x14ac:dyDescent="0.2">
      <c r="G24" s="64"/>
      <c r="J24" s="60"/>
    </row>
    <row r="25" spans="1:14" ht="16.5" x14ac:dyDescent="0.25">
      <c r="C25" s="78" t="s">
        <v>166</v>
      </c>
      <c r="G25" s="64"/>
      <c r="J25" s="60"/>
    </row>
    <row r="26" spans="1:14" x14ac:dyDescent="0.2">
      <c r="G26" s="64"/>
      <c r="J26" s="60"/>
    </row>
    <row r="27" spans="1:14" ht="15" x14ac:dyDescent="0.25">
      <c r="D27" s="79" t="s">
        <v>114</v>
      </c>
      <c r="G27" s="64"/>
      <c r="J27" s="60"/>
    </row>
    <row r="28" spans="1:14" s="61" customFormat="1" ht="15" x14ac:dyDescent="0.25">
      <c r="A28" s="73"/>
      <c r="B28" s="73"/>
      <c r="C28" s="73"/>
      <c r="D28" s="79"/>
      <c r="E28" s="73"/>
      <c r="G28" s="64"/>
    </row>
    <row r="29" spans="1:14" x14ac:dyDescent="0.2">
      <c r="E29" s="73" t="s">
        <v>167</v>
      </c>
      <c r="G29" s="64" t="str">
        <f>Percentage</f>
        <v>%</v>
      </c>
      <c r="J29" s="87">
        <v>0.7</v>
      </c>
      <c r="K29" s="87">
        <v>0.7</v>
      </c>
      <c r="L29" s="87">
        <v>0.7</v>
      </c>
      <c r="M29" s="87">
        <v>0.7</v>
      </c>
      <c r="N29" s="87">
        <v>0.7</v>
      </c>
    </row>
    <row r="30" spans="1:14" x14ac:dyDescent="0.2">
      <c r="G30" s="64"/>
      <c r="J30" s="60"/>
    </row>
    <row r="31" spans="1:14" ht="15" x14ac:dyDescent="0.25">
      <c r="D31" s="79" t="str">
        <f>D20</f>
        <v>Working Capital</v>
      </c>
      <c r="E31" s="79"/>
      <c r="G31" s="64"/>
      <c r="J31" s="60"/>
    </row>
    <row r="32" spans="1:14" s="61" customFormat="1" ht="15" x14ac:dyDescent="0.25">
      <c r="A32" s="73"/>
      <c r="B32" s="73"/>
      <c r="C32" s="73"/>
      <c r="D32" s="79"/>
      <c r="E32" s="79"/>
      <c r="G32" s="64"/>
    </row>
    <row r="33" spans="1:14" x14ac:dyDescent="0.2">
      <c r="E33" s="73" t="s">
        <v>169</v>
      </c>
      <c r="G33" s="64" t="str">
        <f>No_of_Days</f>
        <v># Days</v>
      </c>
      <c r="J33" s="86">
        <v>90</v>
      </c>
      <c r="K33" s="86">
        <v>90</v>
      </c>
      <c r="L33" s="86">
        <v>90</v>
      </c>
      <c r="M33" s="86">
        <v>90</v>
      </c>
      <c r="N33" s="86">
        <v>90</v>
      </c>
    </row>
    <row r="34" spans="1:14" x14ac:dyDescent="0.2">
      <c r="G34" s="64"/>
      <c r="J34" s="60"/>
    </row>
    <row r="35" spans="1:14" x14ac:dyDescent="0.2">
      <c r="G35" s="64"/>
      <c r="J35" s="60"/>
    </row>
    <row r="36" spans="1:14" ht="16.5" x14ac:dyDescent="0.25">
      <c r="C36" s="78" t="s">
        <v>304</v>
      </c>
      <c r="G36" s="64"/>
      <c r="J36" s="60"/>
    </row>
    <row r="37" spans="1:14" x14ac:dyDescent="0.2">
      <c r="C37" s="73" t="s">
        <v>305</v>
      </c>
      <c r="G37" s="64"/>
      <c r="J37" s="60"/>
    </row>
    <row r="38" spans="1:14" x14ac:dyDescent="0.2">
      <c r="G38" s="64"/>
      <c r="J38" s="60"/>
    </row>
    <row r="39" spans="1:14" ht="15" x14ac:dyDescent="0.25">
      <c r="D39" s="79" t="s">
        <v>129</v>
      </c>
      <c r="G39" s="64"/>
      <c r="J39" s="60"/>
    </row>
    <row r="40" spans="1:14" s="61" customFormat="1" ht="15" x14ac:dyDescent="0.25">
      <c r="A40" s="73"/>
      <c r="B40" s="73"/>
      <c r="C40" s="73"/>
      <c r="D40" s="79"/>
      <c r="E40" s="73"/>
      <c r="G40" s="64"/>
    </row>
    <row r="41" spans="1:14" x14ac:dyDescent="0.2">
      <c r="E41" s="73" t="s">
        <v>306</v>
      </c>
      <c r="G41" s="64" t="s">
        <v>102</v>
      </c>
      <c r="I41" s="88">
        <v>45107</v>
      </c>
      <c r="J41" s="60"/>
    </row>
    <row r="42" spans="1:14" x14ac:dyDescent="0.2">
      <c r="E42" s="73" t="s">
        <v>115</v>
      </c>
      <c r="G42" s="64" t="str">
        <f>Currency</f>
        <v>US$'000</v>
      </c>
      <c r="J42" s="86">
        <v>60</v>
      </c>
      <c r="K42" s="86">
        <v>65</v>
      </c>
      <c r="L42" s="86">
        <v>70</v>
      </c>
      <c r="M42" s="86">
        <v>75</v>
      </c>
      <c r="N42" s="86">
        <v>80</v>
      </c>
    </row>
    <row r="43" spans="1:14" x14ac:dyDescent="0.2">
      <c r="E43" s="73" t="s">
        <v>307</v>
      </c>
      <c r="G43" s="64" t="str">
        <f>Percentage</f>
        <v>%</v>
      </c>
      <c r="J43" s="24"/>
      <c r="K43" s="87">
        <v>0.05</v>
      </c>
      <c r="L43" s="87">
        <v>0.04</v>
      </c>
      <c r="M43" s="87">
        <v>0.03</v>
      </c>
      <c r="N43" s="87">
        <v>0.02</v>
      </c>
    </row>
    <row r="44" spans="1:14" x14ac:dyDescent="0.2">
      <c r="G44" s="64"/>
      <c r="J44" s="60"/>
    </row>
    <row r="45" spans="1:14" s="82" customFormat="1" x14ac:dyDescent="0.2">
      <c r="A45" s="73"/>
      <c r="B45" s="73"/>
      <c r="C45" s="73"/>
      <c r="D45" s="73"/>
      <c r="E45" s="73"/>
      <c r="F45" s="16"/>
      <c r="G45" s="64"/>
    </row>
    <row r="46" spans="1:14" ht="16.5" x14ac:dyDescent="0.25">
      <c r="C46" s="78" t="s">
        <v>308</v>
      </c>
      <c r="G46" s="64"/>
      <c r="J46" s="60"/>
    </row>
    <row r="47" spans="1:14" x14ac:dyDescent="0.2">
      <c r="G47" s="64"/>
      <c r="J47" s="60"/>
    </row>
    <row r="48" spans="1:14" ht="15" x14ac:dyDescent="0.25">
      <c r="D48" s="79" t="s">
        <v>198</v>
      </c>
      <c r="E48" s="79"/>
      <c r="G48" s="64"/>
      <c r="J48" s="60"/>
    </row>
    <row r="49" spans="1:14" s="61" customFormat="1" ht="15" x14ac:dyDescent="0.25">
      <c r="A49" s="73"/>
      <c r="B49" s="73"/>
      <c r="C49" s="73"/>
      <c r="D49" s="79"/>
      <c r="E49" s="79"/>
      <c r="G49" s="64"/>
    </row>
    <row r="50" spans="1:14" x14ac:dyDescent="0.2">
      <c r="E50" s="73" t="s">
        <v>198</v>
      </c>
      <c r="G50" s="64" t="str">
        <f>Currency</f>
        <v>US$'000</v>
      </c>
      <c r="J50" s="49">
        <v>150</v>
      </c>
      <c r="K50" s="49">
        <v>180</v>
      </c>
      <c r="L50" s="49">
        <v>120</v>
      </c>
      <c r="M50" s="49">
        <v>90</v>
      </c>
      <c r="N50" s="49">
        <v>100</v>
      </c>
    </row>
    <row r="51" spans="1:14" x14ac:dyDescent="0.2">
      <c r="G51" s="64"/>
      <c r="J51" s="60"/>
    </row>
    <row r="52" spans="1:14" ht="15" x14ac:dyDescent="0.25">
      <c r="D52" s="79" t="s">
        <v>176</v>
      </c>
      <c r="G52" s="64"/>
      <c r="J52" s="60"/>
    </row>
    <row r="53" spans="1:14" s="61" customFormat="1" ht="15" x14ac:dyDescent="0.25">
      <c r="A53" s="73"/>
      <c r="B53" s="73"/>
      <c r="C53" s="73"/>
      <c r="D53" s="79"/>
      <c r="E53" s="73"/>
      <c r="G53" s="64"/>
    </row>
    <row r="54" spans="1:14" x14ac:dyDescent="0.2">
      <c r="E54" s="73" t="s">
        <v>291</v>
      </c>
      <c r="G54" s="64" t="str">
        <f>No_of_Years</f>
        <v># Year(s)</v>
      </c>
      <c r="I54" s="67">
        <v>5</v>
      </c>
      <c r="J54" s="60"/>
      <c r="K54" s="68"/>
    </row>
    <row r="55" spans="1:14" x14ac:dyDescent="0.2">
      <c r="E55" s="73" t="s">
        <v>175</v>
      </c>
      <c r="G55" s="64" t="str">
        <f>Percentage</f>
        <v>%</v>
      </c>
      <c r="I55" s="37">
        <f>IF(I54&lt;=0,0,1/I54)</f>
        <v>0.2</v>
      </c>
      <c r="J55" s="60"/>
    </row>
    <row r="56" spans="1:14" x14ac:dyDescent="0.2">
      <c r="G56" s="64"/>
      <c r="J56" s="60"/>
    </row>
    <row r="57" spans="1:14" s="60" customFormat="1" x14ac:dyDescent="0.2">
      <c r="A57" s="73"/>
      <c r="B57" s="73"/>
      <c r="C57" s="73"/>
      <c r="E57" s="73" t="s">
        <v>292</v>
      </c>
      <c r="G57" s="64" t="str">
        <f>No_of_Years</f>
        <v># Year(s)</v>
      </c>
      <c r="I57" s="67">
        <v>4</v>
      </c>
    </row>
    <row r="58" spans="1:14" s="60" customFormat="1" x14ac:dyDescent="0.2">
      <c r="A58" s="73"/>
      <c r="B58" s="73"/>
      <c r="C58" s="73"/>
      <c r="E58" s="73" t="str">
        <f>E55</f>
        <v>Annual Rate</v>
      </c>
      <c r="G58" s="64" t="str">
        <f>Percentage</f>
        <v>%</v>
      </c>
      <c r="I58" s="37">
        <f>IF(I57&lt;=0,0,1/I57)</f>
        <v>0.25</v>
      </c>
    </row>
    <row r="59" spans="1:14" s="60" customFormat="1" x14ac:dyDescent="0.2">
      <c r="A59" s="73"/>
      <c r="B59" s="73"/>
      <c r="C59" s="73"/>
      <c r="D59" s="73"/>
      <c r="E59" s="73"/>
      <c r="G59" s="64"/>
    </row>
    <row r="60" spans="1:14" x14ac:dyDescent="0.2">
      <c r="G60" s="64"/>
      <c r="J60" s="60"/>
    </row>
    <row r="61" spans="1:14" ht="16.5" x14ac:dyDescent="0.25">
      <c r="C61" s="78" t="s">
        <v>185</v>
      </c>
      <c r="G61" s="64"/>
      <c r="J61" s="60"/>
    </row>
    <row r="62" spans="1:14" x14ac:dyDescent="0.2">
      <c r="C62" s="73" t="s">
        <v>309</v>
      </c>
      <c r="G62" s="64"/>
      <c r="J62" s="60"/>
    </row>
    <row r="63" spans="1:14" x14ac:dyDescent="0.2">
      <c r="C63" s="73" t="s">
        <v>310</v>
      </c>
      <c r="G63" s="64"/>
      <c r="J63" s="60"/>
    </row>
    <row r="64" spans="1:14" x14ac:dyDescent="0.2">
      <c r="G64" s="64"/>
      <c r="J64" s="60"/>
    </row>
    <row r="65" spans="1:14" ht="15" x14ac:dyDescent="0.25">
      <c r="D65" s="79" t="s">
        <v>116</v>
      </c>
      <c r="G65" s="64"/>
      <c r="J65" s="60"/>
    </row>
    <row r="66" spans="1:14" s="61" customFormat="1" ht="15" x14ac:dyDescent="0.25">
      <c r="A66" s="73"/>
      <c r="B66" s="73"/>
      <c r="C66" s="73"/>
      <c r="D66" s="79"/>
      <c r="E66" s="73"/>
      <c r="G66" s="64"/>
    </row>
    <row r="67" spans="1:14" x14ac:dyDescent="0.2">
      <c r="E67" s="73" t="s">
        <v>186</v>
      </c>
      <c r="G67" s="64" t="str">
        <f>Currency</f>
        <v>US$'000</v>
      </c>
      <c r="J67" s="86">
        <v>20</v>
      </c>
      <c r="K67" s="86">
        <v>20</v>
      </c>
      <c r="L67" s="86">
        <v>0</v>
      </c>
      <c r="M67" s="86">
        <v>0</v>
      </c>
      <c r="N67" s="86">
        <v>0</v>
      </c>
    </row>
    <row r="68" spans="1:14" x14ac:dyDescent="0.2">
      <c r="E68" s="73" t="s">
        <v>187</v>
      </c>
      <c r="G68" s="64" t="str">
        <f>Currency</f>
        <v>US$'000</v>
      </c>
      <c r="J68" s="86">
        <v>0</v>
      </c>
      <c r="K68" s="86">
        <v>0</v>
      </c>
      <c r="L68" s="86">
        <v>15</v>
      </c>
      <c r="M68" s="86">
        <v>25</v>
      </c>
      <c r="N68" s="86">
        <v>10</v>
      </c>
    </row>
    <row r="69" spans="1:14" x14ac:dyDescent="0.2">
      <c r="G69" s="64"/>
      <c r="J69" s="60"/>
    </row>
    <row r="70" spans="1:14" ht="15" x14ac:dyDescent="0.25">
      <c r="D70" s="79" t="s">
        <v>117</v>
      </c>
      <c r="G70" s="64"/>
      <c r="J70" s="60"/>
    </row>
    <row r="71" spans="1:14" s="61" customFormat="1" ht="15" x14ac:dyDescent="0.25">
      <c r="A71" s="73"/>
      <c r="B71" s="73"/>
      <c r="C71" s="73"/>
      <c r="D71" s="79"/>
      <c r="E71" s="73"/>
      <c r="G71" s="64"/>
    </row>
    <row r="72" spans="1:14" x14ac:dyDescent="0.2">
      <c r="E72" s="73" t="s">
        <v>189</v>
      </c>
      <c r="G72" s="64" t="str">
        <f>Percentage</f>
        <v>%</v>
      </c>
      <c r="J72" s="87">
        <v>0.06</v>
      </c>
      <c r="K72" s="87">
        <v>6.5000000000000002E-2</v>
      </c>
      <c r="L72" s="87">
        <v>7.0000000000000007E-2</v>
      </c>
      <c r="M72" s="87">
        <v>7.4999999999999997E-2</v>
      </c>
      <c r="N72" s="87">
        <v>0.08</v>
      </c>
    </row>
    <row r="73" spans="1:14" x14ac:dyDescent="0.2">
      <c r="G73" s="64"/>
      <c r="J73" s="60"/>
    </row>
    <row r="74" spans="1:14" ht="15" x14ac:dyDescent="0.25">
      <c r="D74" s="79" t="s">
        <v>348</v>
      </c>
      <c r="G74" s="64" t="str">
        <f>Percentage</f>
        <v>%</v>
      </c>
      <c r="J74" s="60"/>
    </row>
    <row r="75" spans="1:14" s="61" customFormat="1" ht="15" x14ac:dyDescent="0.25">
      <c r="A75" s="73"/>
      <c r="B75" s="73"/>
      <c r="C75" s="73"/>
      <c r="D75" s="79"/>
      <c r="E75" s="73"/>
      <c r="G75" s="64"/>
    </row>
    <row r="76" spans="1:14" x14ac:dyDescent="0.2">
      <c r="E76" s="73" t="s">
        <v>151</v>
      </c>
      <c r="G76" s="64" t="str">
        <f>Percentage</f>
        <v>%</v>
      </c>
      <c r="J76" s="87">
        <v>0.01</v>
      </c>
      <c r="K76" s="87">
        <v>0.01</v>
      </c>
      <c r="L76" s="87">
        <v>0.01</v>
      </c>
      <c r="M76" s="87">
        <v>0.01</v>
      </c>
      <c r="N76" s="87">
        <v>0.01</v>
      </c>
    </row>
    <row r="77" spans="1:14" x14ac:dyDescent="0.2">
      <c r="G77" s="64"/>
      <c r="J77" s="60"/>
    </row>
    <row r="78" spans="1:14" x14ac:dyDescent="0.2">
      <c r="E78" s="73" t="s">
        <v>311</v>
      </c>
      <c r="G78" s="64" t="str">
        <f>Percentage</f>
        <v>%</v>
      </c>
      <c r="I78" s="87">
        <v>0.5</v>
      </c>
      <c r="J78" s="60"/>
    </row>
    <row r="79" spans="1:14" x14ac:dyDescent="0.2">
      <c r="G79" s="64"/>
      <c r="J79" s="60"/>
    </row>
    <row r="80" spans="1:14" s="82" customFormat="1" x14ac:dyDescent="0.2">
      <c r="A80" s="73"/>
      <c r="B80" s="73"/>
      <c r="C80" s="73"/>
      <c r="D80" s="73"/>
      <c r="E80" s="73"/>
      <c r="F80" s="16"/>
      <c r="G80" s="64"/>
    </row>
    <row r="81" spans="1:14" ht="16.5" x14ac:dyDescent="0.25">
      <c r="C81" s="78" t="s">
        <v>118</v>
      </c>
      <c r="G81" s="64"/>
      <c r="J81" s="60"/>
    </row>
    <row r="82" spans="1:14" x14ac:dyDescent="0.2">
      <c r="G82" s="64"/>
      <c r="J82" s="60"/>
    </row>
    <row r="83" spans="1:14" ht="15" x14ac:dyDescent="0.25">
      <c r="D83" s="79" t="s">
        <v>154</v>
      </c>
      <c r="G83" s="64"/>
      <c r="J83" s="60"/>
    </row>
    <row r="84" spans="1:14" s="61" customFormat="1" ht="15" x14ac:dyDescent="0.25">
      <c r="A84" s="73"/>
      <c r="B84" s="73"/>
      <c r="C84" s="73"/>
      <c r="D84" s="79"/>
      <c r="E84" s="73"/>
      <c r="G84" s="64"/>
    </row>
    <row r="85" spans="1:14" x14ac:dyDescent="0.2">
      <c r="E85" s="73" t="str">
        <f>D83</f>
        <v>Tax Rate</v>
      </c>
      <c r="G85" s="64" t="str">
        <f>Percentage</f>
        <v>%</v>
      </c>
      <c r="I85" s="87">
        <v>0.3</v>
      </c>
      <c r="J85" s="60"/>
    </row>
    <row r="86" spans="1:14" x14ac:dyDescent="0.2">
      <c r="G86" s="64"/>
      <c r="J86" s="60"/>
    </row>
    <row r="87" spans="1:14" ht="15" x14ac:dyDescent="0.25">
      <c r="D87" s="79" t="s">
        <v>191</v>
      </c>
      <c r="G87" s="64"/>
      <c r="J87" s="60"/>
    </row>
    <row r="88" spans="1:14" s="61" customFormat="1" ht="15" x14ac:dyDescent="0.25">
      <c r="A88" s="73"/>
      <c r="B88" s="73"/>
      <c r="C88" s="73"/>
      <c r="D88" s="79"/>
      <c r="E88" s="73"/>
      <c r="G88" s="64"/>
    </row>
    <row r="89" spans="1:14" x14ac:dyDescent="0.2">
      <c r="E89" s="73" t="s">
        <v>192</v>
      </c>
      <c r="G89" s="64" t="str">
        <f>Currency</f>
        <v>US$'000</v>
      </c>
      <c r="J89" s="86">
        <v>25</v>
      </c>
      <c r="K89" s="86">
        <v>25</v>
      </c>
      <c r="L89" s="86">
        <v>25</v>
      </c>
      <c r="M89" s="86">
        <v>25</v>
      </c>
      <c r="N89" s="86">
        <v>25</v>
      </c>
    </row>
    <row r="90" spans="1:14" x14ac:dyDescent="0.2">
      <c r="E90" s="73" t="s">
        <v>193</v>
      </c>
      <c r="G90" s="64" t="str">
        <f>Currency</f>
        <v>US$'000</v>
      </c>
      <c r="J90" s="86">
        <v>40</v>
      </c>
      <c r="K90" s="86">
        <v>16</v>
      </c>
      <c r="L90" s="86">
        <v>25</v>
      </c>
      <c r="M90" s="86">
        <v>30</v>
      </c>
      <c r="N90" s="86">
        <v>50</v>
      </c>
    </row>
    <row r="91" spans="1:14" x14ac:dyDescent="0.2">
      <c r="G91" s="64"/>
      <c r="J91" s="60"/>
    </row>
    <row r="92" spans="1:14" ht="15" x14ac:dyDescent="0.25">
      <c r="D92" s="79" t="s">
        <v>197</v>
      </c>
      <c r="G92" s="64"/>
      <c r="J92" s="60"/>
    </row>
    <row r="93" spans="1:14" s="61" customFormat="1" ht="15" x14ac:dyDescent="0.25">
      <c r="A93" s="73"/>
      <c r="B93" s="73"/>
      <c r="C93" s="73"/>
      <c r="D93" s="79"/>
      <c r="E93" s="73"/>
      <c r="G93" s="64"/>
    </row>
    <row r="94" spans="1:14" x14ac:dyDescent="0.2">
      <c r="E94" s="73" t="s">
        <v>312</v>
      </c>
      <c r="G94" s="64" t="str">
        <f>Multiplier</f>
        <v>x</v>
      </c>
      <c r="I94" s="90">
        <v>2</v>
      </c>
      <c r="J94" s="60"/>
    </row>
    <row r="95" spans="1:14" x14ac:dyDescent="0.2">
      <c r="G95" s="64"/>
      <c r="J95" s="60"/>
    </row>
    <row r="96" spans="1:14" x14ac:dyDescent="0.2">
      <c r="E96" s="73" t="s">
        <v>200</v>
      </c>
      <c r="G96" s="64" t="str">
        <f>No_of_Years</f>
        <v># Year(s)</v>
      </c>
      <c r="I96" s="67">
        <v>5</v>
      </c>
      <c r="J96" s="60"/>
    </row>
    <row r="97" spans="1:10" x14ac:dyDescent="0.2">
      <c r="E97" s="73" t="str">
        <f>E55</f>
        <v>Annual Rate</v>
      </c>
      <c r="G97" s="64" t="str">
        <f>Percentage</f>
        <v>%</v>
      </c>
      <c r="I97" s="37">
        <f>IF(I96&lt;=0,0,I94/I96)</f>
        <v>0.4</v>
      </c>
      <c r="J97" s="60"/>
    </row>
    <row r="98" spans="1:10" x14ac:dyDescent="0.2">
      <c r="G98" s="64"/>
      <c r="J98" s="60"/>
    </row>
    <row r="99" spans="1:10" x14ac:dyDescent="0.2">
      <c r="E99" s="73" t="s">
        <v>201</v>
      </c>
      <c r="G99" s="64" t="str">
        <f>No_of_Years</f>
        <v># Year(s)</v>
      </c>
      <c r="I99" s="67">
        <v>4</v>
      </c>
      <c r="J99" s="60"/>
    </row>
    <row r="100" spans="1:10" x14ac:dyDescent="0.2">
      <c r="E100" s="73" t="str">
        <f>E58</f>
        <v>Annual Rate</v>
      </c>
      <c r="G100" s="64" t="str">
        <f>Percentage</f>
        <v>%</v>
      </c>
      <c r="I100" s="37">
        <f>IF(I99&lt;=0,0,I94/I99)</f>
        <v>0.5</v>
      </c>
      <c r="J100" s="60"/>
    </row>
    <row r="101" spans="1:10" x14ac:dyDescent="0.2">
      <c r="G101" s="64"/>
      <c r="J101" s="60"/>
    </row>
    <row r="102" spans="1:10" ht="15" x14ac:dyDescent="0.25">
      <c r="D102" s="79" t="s">
        <v>119</v>
      </c>
      <c r="G102" s="64"/>
      <c r="J102" s="60"/>
    </row>
    <row r="103" spans="1:10" s="61" customFormat="1" x14ac:dyDescent="0.2">
      <c r="A103" s="73"/>
      <c r="B103" s="73"/>
      <c r="C103" s="73"/>
      <c r="D103" s="73" t="s">
        <v>313</v>
      </c>
      <c r="E103" s="73"/>
      <c r="G103" s="64"/>
    </row>
    <row r="104" spans="1:10" x14ac:dyDescent="0.2">
      <c r="G104" s="64"/>
      <c r="J104" s="60"/>
    </row>
    <row r="105" spans="1:10" x14ac:dyDescent="0.2">
      <c r="E105" s="73" t="str">
        <f>D102</f>
        <v>DTA</v>
      </c>
      <c r="G105" s="64" t="str">
        <f>Currency</f>
        <v>US$'000</v>
      </c>
      <c r="I105" s="136">
        <f>'Opening Balance Sheet'!I21</f>
        <v>75</v>
      </c>
      <c r="J105" s="60"/>
    </row>
    <row r="106" spans="1:10" x14ac:dyDescent="0.2">
      <c r="G106" s="64"/>
      <c r="J106" s="60"/>
    </row>
    <row r="107" spans="1:10" ht="15" x14ac:dyDescent="0.25">
      <c r="D107" s="79" t="s">
        <v>120</v>
      </c>
      <c r="G107" s="64"/>
      <c r="J107" s="60"/>
    </row>
    <row r="108" spans="1:10" s="61" customFormat="1" x14ac:dyDescent="0.2">
      <c r="A108" s="73"/>
      <c r="B108" s="73"/>
      <c r="C108" s="73"/>
      <c r="D108" s="73" t="s">
        <v>314</v>
      </c>
      <c r="E108" s="73"/>
      <c r="G108" s="64"/>
    </row>
    <row r="109" spans="1:10" x14ac:dyDescent="0.2">
      <c r="G109" s="64"/>
      <c r="J109" s="60"/>
    </row>
    <row r="110" spans="1:10" x14ac:dyDescent="0.2">
      <c r="E110" s="73" t="str">
        <f>D107</f>
        <v>DTL</v>
      </c>
      <c r="G110" s="64" t="str">
        <f>Currency</f>
        <v>US$'000</v>
      </c>
      <c r="I110" s="136">
        <f>'Opening Balance Sheet'!I36</f>
        <v>25</v>
      </c>
      <c r="J110" s="60"/>
    </row>
    <row r="111" spans="1:10" x14ac:dyDescent="0.2">
      <c r="G111" s="64"/>
      <c r="J111" s="60"/>
    </row>
    <row r="112" spans="1:10" ht="15" x14ac:dyDescent="0.25">
      <c r="D112" s="79" t="s">
        <v>207</v>
      </c>
      <c r="G112" s="64"/>
      <c r="J112" s="60"/>
    </row>
    <row r="113" spans="1:14" s="61" customFormat="1" ht="15" x14ac:dyDescent="0.25">
      <c r="A113" s="73"/>
      <c r="B113" s="73"/>
      <c r="C113" s="73"/>
      <c r="D113" s="79"/>
      <c r="E113" s="73"/>
      <c r="G113" s="64"/>
    </row>
    <row r="114" spans="1:14" x14ac:dyDescent="0.2">
      <c r="E114" s="73" t="s">
        <v>212</v>
      </c>
      <c r="G114" s="64" t="str">
        <f>No_of_Years</f>
        <v># Year(s)</v>
      </c>
      <c r="I114" s="67">
        <v>1</v>
      </c>
      <c r="J114" s="60"/>
    </row>
    <row r="115" spans="1:14" x14ac:dyDescent="0.2">
      <c r="G115" s="64"/>
      <c r="J115" s="60"/>
    </row>
    <row r="116" spans="1:14" s="82" customFormat="1" x14ac:dyDescent="0.2">
      <c r="A116" s="73"/>
      <c r="B116" s="73"/>
      <c r="C116" s="73"/>
      <c r="D116" s="73"/>
      <c r="E116" s="73"/>
      <c r="F116" s="16"/>
      <c r="G116" s="64"/>
    </row>
    <row r="117" spans="1:14" ht="16.5" x14ac:dyDescent="0.25">
      <c r="C117" s="78" t="s">
        <v>315</v>
      </c>
      <c r="G117" s="64"/>
      <c r="J117" s="60"/>
    </row>
    <row r="118" spans="1:14" x14ac:dyDescent="0.2">
      <c r="G118" s="64"/>
      <c r="J118" s="60"/>
    </row>
    <row r="119" spans="1:14" ht="15" x14ac:dyDescent="0.25">
      <c r="D119" s="79" t="s">
        <v>222</v>
      </c>
      <c r="G119" s="64"/>
      <c r="J119" s="60"/>
    </row>
    <row r="120" spans="1:14" s="61" customFormat="1" ht="15" x14ac:dyDescent="0.25">
      <c r="A120" s="73"/>
      <c r="B120" s="73"/>
      <c r="C120" s="73"/>
      <c r="D120" s="79"/>
      <c r="E120" s="73"/>
      <c r="G120" s="64"/>
    </row>
    <row r="121" spans="1:14" x14ac:dyDescent="0.2">
      <c r="E121" s="73" t="s">
        <v>223</v>
      </c>
      <c r="G121" s="64" t="str">
        <f>Currency</f>
        <v>US$'000</v>
      </c>
      <c r="J121" s="86">
        <v>15</v>
      </c>
      <c r="K121" s="86">
        <v>25</v>
      </c>
      <c r="L121" s="86">
        <v>0</v>
      </c>
      <c r="M121" s="86">
        <v>10</v>
      </c>
      <c r="N121" s="86">
        <v>0</v>
      </c>
    </row>
    <row r="122" spans="1:14" x14ac:dyDescent="0.2">
      <c r="E122" s="73" t="s">
        <v>224</v>
      </c>
      <c r="G122" s="64" t="str">
        <f>Currency</f>
        <v>US$'000</v>
      </c>
      <c r="J122" s="86">
        <v>0</v>
      </c>
      <c r="K122" s="86">
        <v>0</v>
      </c>
      <c r="L122" s="86">
        <v>5</v>
      </c>
      <c r="M122" s="86">
        <v>5</v>
      </c>
      <c r="N122" s="86">
        <v>20</v>
      </c>
    </row>
    <row r="123" spans="1:14" x14ac:dyDescent="0.2">
      <c r="G123" s="64"/>
      <c r="J123" s="60"/>
    </row>
    <row r="124" spans="1:14" ht="15" x14ac:dyDescent="0.25">
      <c r="D124" s="79" t="s">
        <v>121</v>
      </c>
      <c r="G124" s="64"/>
      <c r="J124" s="60"/>
    </row>
    <row r="125" spans="1:14" s="61" customFormat="1" x14ac:dyDescent="0.2">
      <c r="A125" s="73"/>
      <c r="B125" s="73"/>
      <c r="C125" s="73"/>
      <c r="D125" s="73" t="s">
        <v>351</v>
      </c>
      <c r="E125" s="73"/>
      <c r="G125" s="64"/>
    </row>
    <row r="126" spans="1:14" x14ac:dyDescent="0.2">
      <c r="G126" s="64"/>
      <c r="J126" s="60"/>
    </row>
    <row r="127" spans="1:14" x14ac:dyDescent="0.2">
      <c r="E127" s="73" t="s">
        <v>316</v>
      </c>
      <c r="G127" s="64" t="str">
        <f>Percentage</f>
        <v>%</v>
      </c>
      <c r="J127" s="87">
        <v>0.25</v>
      </c>
      <c r="K127" s="87">
        <v>0.3</v>
      </c>
      <c r="L127" s="87">
        <v>0.35</v>
      </c>
      <c r="M127" s="87">
        <v>0.4</v>
      </c>
      <c r="N127" s="87">
        <v>0.45</v>
      </c>
    </row>
    <row r="128" spans="1:14" x14ac:dyDescent="0.2">
      <c r="F128" s="64"/>
      <c r="J128" s="60"/>
    </row>
  </sheetData>
  <conditionalFormatting sqref="G4">
    <cfRule type="cellIs" dxfId="24" priority="3" operator="notEqual">
      <formula>0</formula>
    </cfRule>
  </conditionalFormatting>
  <conditionalFormatting sqref="J42:N42">
    <cfRule type="expression" dxfId="23" priority="2">
      <formula>$I$41&lt;=J$7</formula>
    </cfRule>
  </conditionalFormatting>
  <conditionalFormatting sqref="K43:N43">
    <cfRule type="expression" dxfId="22" priority="1">
      <formula>$I$41&gt;K$7</formula>
    </cfRule>
  </conditionalFormatting>
  <dataValidations count="1">
    <dataValidation type="list" allowBlank="1" showInputMessage="1" showErrorMessage="1" sqref="I41" xr:uid="{00000000-0002-0000-0400-000000000000}">
      <formula1>LU_Future_Years</formula1>
    </dataValidation>
  </dataValidations>
  <hyperlinks>
    <hyperlink ref="A3:E3" location="HL_Navigator" tooltip="Go to Navigator (Table of Contents)" display="Navigator" xr:uid="{00000000-0004-0000-0400-000000000000}"/>
    <hyperlink ref="A3" location="HL_Navigator" display="Navigator" xr:uid="{00000000-0004-0000-0400-000001000000}"/>
    <hyperlink ref="G4" location="Overall_Error_Check" tooltip="Go to Overall Error Check" display="Overall_Error_Check" xr:uid="{00000000-0004-0000-04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outlinePr summaryBelow="0" summaryRight="0"/>
  </sheetPr>
  <dimension ref="A1:P364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4" width="3.7109375" style="91" customWidth="1"/>
    <col min="5" max="5" width="32.85546875" style="91" customWidth="1"/>
    <col min="6" max="6" width="1.7109375" style="91" customWidth="1"/>
    <col min="7" max="8" width="9.140625" style="92"/>
    <col min="9" max="9" width="9.140625" style="92" customWidth="1"/>
    <col min="10" max="14" width="9.140625" style="92"/>
    <col min="15" max="15" width="5.140625" style="92" customWidth="1"/>
    <col min="16" max="16" width="24.140625" style="92" customWidth="1"/>
    <col min="17" max="16384" width="9.140625" style="92"/>
  </cols>
  <sheetData>
    <row r="1" spans="1:15" ht="20.25" x14ac:dyDescent="0.3">
      <c r="A1" s="46" t="str">
        <f ca="1">IFERROR(RIGHT(CELL("filename",A1),LEN(CELL("filename",A1))-FIND("]",CELL("filename",A1))),"")</f>
        <v>Calculations</v>
      </c>
    </row>
    <row r="2" spans="1:15" ht="18" x14ac:dyDescent="0.25">
      <c r="A2" s="47" t="str">
        <f ca="1">Model_Name</f>
        <v>Chapter 7.1 - SP Case Study Model vLB1.01.xlsx</v>
      </c>
    </row>
    <row r="3" spans="1:15" x14ac:dyDescent="0.2">
      <c r="A3" s="176" t="s">
        <v>1</v>
      </c>
      <c r="B3" s="94"/>
      <c r="C3" s="94"/>
      <c r="D3" s="94"/>
      <c r="E3" s="94"/>
    </row>
    <row r="4" spans="1:15" x14ac:dyDescent="0.2">
      <c r="A4" s="91" t="str">
        <f>Timing!A4</f>
        <v>Error Checks:</v>
      </c>
      <c r="B4" s="94"/>
      <c r="C4" s="94"/>
      <c r="D4" s="94"/>
      <c r="E4" s="94"/>
      <c r="G4" s="96">
        <f ca="1">Overall_Error_Check</f>
        <v>0</v>
      </c>
    </row>
    <row r="5" spans="1:15" collapsed="1" x14ac:dyDescent="0.2">
      <c r="A5" s="81"/>
      <c r="B5" s="94"/>
      <c r="C5" s="94"/>
      <c r="D5" s="94"/>
      <c r="E5" s="94"/>
      <c r="J5" s="40">
        <f>Timing!J5</f>
        <v>44377</v>
      </c>
      <c r="K5" s="40">
        <f>Timing!K5</f>
        <v>44742</v>
      </c>
      <c r="L5" s="40">
        <f>Timing!L5</f>
        <v>45107</v>
      </c>
      <c r="M5" s="40">
        <f>Timing!M5</f>
        <v>45473</v>
      </c>
      <c r="N5" s="40">
        <f>Timing!N5</f>
        <v>45838</v>
      </c>
    </row>
    <row r="6" spans="1:15" hidden="1" outlineLevel="1" x14ac:dyDescent="0.2">
      <c r="A6" s="94"/>
      <c r="B6" s="94"/>
      <c r="C6" s="91" t="str">
        <f>Timing!C6</f>
        <v>Start Date</v>
      </c>
      <c r="D6" s="94"/>
      <c r="E6" s="94"/>
      <c r="J6" s="39">
        <f>Timing!J6</f>
        <v>44013</v>
      </c>
      <c r="K6" s="39">
        <f>Timing!K6</f>
        <v>44378</v>
      </c>
      <c r="L6" s="39">
        <f>Timing!L6</f>
        <v>44743</v>
      </c>
      <c r="M6" s="39">
        <f>Timing!M6</f>
        <v>45108</v>
      </c>
      <c r="N6" s="39">
        <f>Timing!N6</f>
        <v>45474</v>
      </c>
    </row>
    <row r="7" spans="1:15" hidden="1" outlineLevel="1" x14ac:dyDescent="0.2">
      <c r="A7" s="94"/>
      <c r="B7" s="94"/>
      <c r="C7" s="91" t="str">
        <f>Timing!C7</f>
        <v>End Date</v>
      </c>
      <c r="D7" s="94"/>
      <c r="E7" s="94"/>
      <c r="J7" s="39">
        <f>Timing!J7</f>
        <v>44377</v>
      </c>
      <c r="K7" s="39">
        <f>Timing!K7</f>
        <v>44742</v>
      </c>
      <c r="L7" s="39">
        <f>Timing!L7</f>
        <v>45107</v>
      </c>
      <c r="M7" s="39">
        <f>Timing!M7</f>
        <v>45473</v>
      </c>
      <c r="N7" s="39">
        <f>Timing!N7</f>
        <v>45838</v>
      </c>
    </row>
    <row r="8" spans="1:15" hidden="1" outlineLevel="1" x14ac:dyDescent="0.2">
      <c r="A8" s="94"/>
      <c r="B8" s="94"/>
      <c r="C8" s="91" t="str">
        <f>Timing!C8</f>
        <v>Number of Days</v>
      </c>
      <c r="D8" s="94"/>
      <c r="E8" s="94"/>
      <c r="J8" s="35">
        <f>Timing!J8</f>
        <v>365</v>
      </c>
      <c r="K8" s="35">
        <f>Timing!K8</f>
        <v>365</v>
      </c>
      <c r="L8" s="35">
        <f>Timing!L8</f>
        <v>365</v>
      </c>
      <c r="M8" s="35">
        <f>Timing!M8</f>
        <v>366</v>
      </c>
      <c r="N8" s="35">
        <f>Timing!N8</f>
        <v>365</v>
      </c>
    </row>
    <row r="9" spans="1:15" hidden="1" outlineLevel="1" x14ac:dyDescent="0.2">
      <c r="A9" s="94"/>
      <c r="B9" s="94"/>
      <c r="C9" s="91" t="str">
        <f>Timing!C9</f>
        <v>Counter</v>
      </c>
      <c r="D9" s="94"/>
      <c r="E9" s="94"/>
      <c r="J9" s="35">
        <f>Timing!J9</f>
        <v>1</v>
      </c>
      <c r="K9" s="35">
        <f>Timing!K9</f>
        <v>2</v>
      </c>
      <c r="L9" s="35">
        <f>Timing!L9</f>
        <v>3</v>
      </c>
      <c r="M9" s="35">
        <f>Timing!M9</f>
        <v>4</v>
      </c>
      <c r="N9" s="35">
        <f>Timing!N9</f>
        <v>5</v>
      </c>
    </row>
    <row r="11" spans="1:15" ht="16.5" thickBot="1" x14ac:dyDescent="0.3">
      <c r="B11" s="48">
        <f>MAX($B$10:$B10)+1</f>
        <v>1</v>
      </c>
      <c r="C11" s="3" t="str">
        <f ca="1">A1</f>
        <v>Calculations</v>
      </c>
      <c r="D11" s="97"/>
      <c r="E11" s="97"/>
      <c r="F11" s="97"/>
      <c r="G11" s="98"/>
      <c r="H11" s="98"/>
      <c r="I11" s="98"/>
      <c r="J11" s="98"/>
      <c r="K11" s="98"/>
      <c r="L11" s="98"/>
      <c r="M11" s="98"/>
      <c r="N11" s="98"/>
      <c r="O11" s="98"/>
    </row>
    <row r="12" spans="1:15" ht="12.75" thickTop="1" x14ac:dyDescent="0.2">
      <c r="G12" s="99"/>
    </row>
    <row r="13" spans="1:15" ht="16.5" x14ac:dyDescent="0.25">
      <c r="C13" s="78" t="s">
        <v>126</v>
      </c>
      <c r="G13" s="99"/>
    </row>
    <row r="14" spans="1:15" x14ac:dyDescent="0.2">
      <c r="C14" s="100"/>
    </row>
    <row r="15" spans="1:15" ht="15" x14ac:dyDescent="0.25">
      <c r="C15" s="100"/>
      <c r="D15" s="79" t="s">
        <v>113</v>
      </c>
      <c r="O15" s="102"/>
    </row>
    <row r="16" spans="1:15" x14ac:dyDescent="0.2">
      <c r="C16" s="100"/>
      <c r="D16" s="101"/>
      <c r="O16" s="102"/>
    </row>
    <row r="17" spans="3:15" x14ac:dyDescent="0.2">
      <c r="C17" s="100"/>
      <c r="D17" s="92"/>
      <c r="E17" s="91" t="s">
        <v>159</v>
      </c>
      <c r="G17" s="103" t="str">
        <f>Currency</f>
        <v>US$'000</v>
      </c>
      <c r="J17" s="136">
        <f>'General Assumptions'!J17</f>
        <v>400</v>
      </c>
      <c r="K17" s="24"/>
      <c r="L17" s="24"/>
      <c r="M17" s="24"/>
      <c r="N17" s="24"/>
      <c r="O17" s="102"/>
    </row>
    <row r="18" spans="3:15" x14ac:dyDescent="0.2">
      <c r="C18" s="100"/>
      <c r="D18" s="92"/>
      <c r="E18" s="91" t="s">
        <v>160</v>
      </c>
      <c r="G18" s="103" t="str">
        <f>Percentage</f>
        <v>%</v>
      </c>
      <c r="J18" s="24"/>
      <c r="K18" s="70">
        <f>'General Assumptions'!K18</f>
        <v>0.12</v>
      </c>
      <c r="L18" s="70">
        <f>'General Assumptions'!L18</f>
        <v>0.1</v>
      </c>
      <c r="M18" s="70">
        <f>'General Assumptions'!M18</f>
        <v>0.08</v>
      </c>
      <c r="N18" s="70">
        <f>'General Assumptions'!N18</f>
        <v>0.05</v>
      </c>
      <c r="O18" s="102"/>
    </row>
    <row r="19" spans="3:15" x14ac:dyDescent="0.2">
      <c r="C19" s="100"/>
      <c r="D19" s="92"/>
      <c r="E19" s="80" t="s">
        <v>113</v>
      </c>
      <c r="G19" s="103" t="str">
        <f>Currency</f>
        <v>US$'000</v>
      </c>
      <c r="J19" s="137">
        <f>IF(J$9=1,$J17,I19*(1+J18))</f>
        <v>400</v>
      </c>
      <c r="K19" s="137">
        <f t="shared" ref="K19:N19" si="0">IF(K$9=1,$J17,J19*(1+K18))</f>
        <v>448.00000000000006</v>
      </c>
      <c r="L19" s="137">
        <f t="shared" si="0"/>
        <v>492.80000000000013</v>
      </c>
      <c r="M19" s="137">
        <f t="shared" si="0"/>
        <v>532.22400000000016</v>
      </c>
      <c r="N19" s="137">
        <f t="shared" si="0"/>
        <v>558.83520000000021</v>
      </c>
      <c r="O19" s="102"/>
    </row>
    <row r="20" spans="3:15" x14ac:dyDescent="0.2">
      <c r="C20" s="100"/>
      <c r="O20" s="102"/>
    </row>
    <row r="21" spans="3:15" ht="15" x14ac:dyDescent="0.25">
      <c r="C21" s="100"/>
      <c r="D21" s="79" t="s">
        <v>128</v>
      </c>
      <c r="O21" s="102"/>
    </row>
    <row r="22" spans="3:15" x14ac:dyDescent="0.2">
      <c r="C22" s="100"/>
      <c r="D22" s="101"/>
      <c r="O22" s="102"/>
    </row>
    <row r="23" spans="3:15" x14ac:dyDescent="0.2">
      <c r="C23" s="100"/>
      <c r="D23" s="92"/>
      <c r="E23" s="91" t="s">
        <v>161</v>
      </c>
      <c r="G23" s="103" t="str">
        <f>No_of_Days</f>
        <v># Days</v>
      </c>
      <c r="J23" s="136">
        <f>'General Assumptions'!J22</f>
        <v>60</v>
      </c>
      <c r="K23" s="136">
        <v>60</v>
      </c>
      <c r="L23" s="136">
        <v>60</v>
      </c>
      <c r="M23" s="136">
        <v>60</v>
      </c>
      <c r="N23" s="136">
        <v>60</v>
      </c>
      <c r="O23" s="102"/>
    </row>
    <row r="24" spans="3:15" x14ac:dyDescent="0.2">
      <c r="C24" s="100"/>
      <c r="D24" s="92"/>
      <c r="J24" s="95"/>
      <c r="K24" s="95"/>
      <c r="L24" s="95"/>
      <c r="M24" s="95"/>
      <c r="N24" s="95"/>
      <c r="O24" s="102"/>
    </row>
    <row r="25" spans="3:15" x14ac:dyDescent="0.2">
      <c r="C25" s="100"/>
      <c r="D25" s="92"/>
      <c r="E25" s="91" t="s">
        <v>162</v>
      </c>
      <c r="G25" s="103" t="str">
        <f>No_of_Days</f>
        <v># Days</v>
      </c>
      <c r="J25" s="135">
        <f>J$8</f>
        <v>365</v>
      </c>
      <c r="K25" s="135">
        <f t="shared" ref="K25:N25" si="1">K$8</f>
        <v>365</v>
      </c>
      <c r="L25" s="135">
        <f t="shared" si="1"/>
        <v>365</v>
      </c>
      <c r="M25" s="135">
        <f t="shared" si="1"/>
        <v>366</v>
      </c>
      <c r="N25" s="135">
        <f t="shared" si="1"/>
        <v>365</v>
      </c>
      <c r="O25" s="102"/>
    </row>
    <row r="26" spans="3:15" x14ac:dyDescent="0.2">
      <c r="C26" s="100"/>
      <c r="D26" s="92"/>
      <c r="J26" s="135"/>
      <c r="K26" s="135"/>
      <c r="L26" s="135"/>
      <c r="M26" s="135"/>
      <c r="N26" s="135"/>
      <c r="O26" s="102"/>
    </row>
    <row r="27" spans="3:15" x14ac:dyDescent="0.2">
      <c r="C27" s="100"/>
      <c r="D27" s="92"/>
      <c r="E27" s="91" t="s">
        <v>163</v>
      </c>
      <c r="G27" s="103" t="str">
        <f>Currency</f>
        <v>US$'000</v>
      </c>
      <c r="J27" s="135">
        <f>J23/J25*J19</f>
        <v>65.753424657534239</v>
      </c>
      <c r="K27" s="135">
        <f>K23/K25*K19</f>
        <v>73.643835616438366</v>
      </c>
      <c r="L27" s="135">
        <f>L23/L25*L19</f>
        <v>81.008219178082214</v>
      </c>
      <c r="M27" s="135">
        <f>M23/M25*M19</f>
        <v>87.249836065573788</v>
      </c>
      <c r="N27" s="135">
        <f>N23/N25*N19</f>
        <v>91.863320547945236</v>
      </c>
      <c r="O27" s="102"/>
    </row>
    <row r="28" spans="3:15" x14ac:dyDescent="0.2">
      <c r="C28" s="100"/>
      <c r="J28" s="95"/>
      <c r="K28" s="95"/>
      <c r="L28" s="95"/>
      <c r="M28" s="95"/>
      <c r="N28" s="95"/>
      <c r="O28" s="102"/>
    </row>
    <row r="29" spans="3:15" ht="15" x14ac:dyDescent="0.25">
      <c r="C29" s="100"/>
      <c r="D29" s="79" t="s">
        <v>145</v>
      </c>
      <c r="J29" s="95"/>
      <c r="K29" s="95"/>
      <c r="L29" s="95"/>
      <c r="M29" s="95"/>
      <c r="N29" s="95"/>
      <c r="O29" s="102"/>
    </row>
    <row r="30" spans="3:15" x14ac:dyDescent="0.2">
      <c r="C30" s="100"/>
      <c r="D30" s="101"/>
      <c r="J30" s="95"/>
      <c r="K30" s="95"/>
      <c r="L30" s="95"/>
      <c r="M30" s="95"/>
      <c r="N30" s="95"/>
      <c r="O30" s="102"/>
    </row>
    <row r="31" spans="3:15" x14ac:dyDescent="0.2">
      <c r="C31" s="100"/>
      <c r="D31" s="92"/>
      <c r="E31" s="91" t="s">
        <v>164</v>
      </c>
      <c r="G31" s="103" t="str">
        <f>Currency</f>
        <v>US$'000</v>
      </c>
      <c r="I31" s="135"/>
      <c r="J31" s="135">
        <f>I34</f>
        <v>50</v>
      </c>
      <c r="K31" s="135">
        <f t="shared" ref="K31:N31" si="2">J34</f>
        <v>65.753424657534239</v>
      </c>
      <c r="L31" s="135">
        <f t="shared" si="2"/>
        <v>73.643835616438366</v>
      </c>
      <c r="M31" s="135">
        <f t="shared" si="2"/>
        <v>81.008219178082214</v>
      </c>
      <c r="N31" s="135">
        <f t="shared" si="2"/>
        <v>87.249836065573788</v>
      </c>
      <c r="O31" s="106" t="str">
        <f>Balance_Sheet</f>
        <v>BS</v>
      </c>
    </row>
    <row r="32" spans="3:15" x14ac:dyDescent="0.2">
      <c r="C32" s="100"/>
      <c r="D32" s="92"/>
      <c r="E32" s="91" t="s">
        <v>127</v>
      </c>
      <c r="G32" s="103" t="str">
        <f>Currency</f>
        <v>US$'000</v>
      </c>
      <c r="I32" s="135"/>
      <c r="J32" s="135">
        <f>J19</f>
        <v>400</v>
      </c>
      <c r="K32" s="135">
        <f t="shared" ref="K32:N32" si="3">K19</f>
        <v>448.00000000000006</v>
      </c>
      <c r="L32" s="135">
        <f t="shared" si="3"/>
        <v>492.80000000000013</v>
      </c>
      <c r="M32" s="135">
        <f t="shared" si="3"/>
        <v>532.22400000000016</v>
      </c>
      <c r="N32" s="135">
        <f t="shared" si="3"/>
        <v>558.83520000000021</v>
      </c>
      <c r="O32" s="106" t="str">
        <f>Income_Statement</f>
        <v>IS</v>
      </c>
    </row>
    <row r="33" spans="3:16" x14ac:dyDescent="0.2">
      <c r="C33" s="100"/>
      <c r="D33" s="92"/>
      <c r="E33" s="91" t="s">
        <v>165</v>
      </c>
      <c r="G33" s="103" t="str">
        <f>Currency</f>
        <v>US$'000</v>
      </c>
      <c r="I33" s="135"/>
      <c r="J33" s="135">
        <f>J34-SUM(J31:J32)</f>
        <v>-384.24657534246575</v>
      </c>
      <c r="K33" s="135">
        <f t="shared" ref="K33:N33" si="4">K34-SUM(K31:K32)</f>
        <v>-440.10958904109594</v>
      </c>
      <c r="L33" s="135">
        <f t="shared" si="4"/>
        <v>-485.43561643835631</v>
      </c>
      <c r="M33" s="135">
        <f t="shared" si="4"/>
        <v>-525.98238311250861</v>
      </c>
      <c r="N33" s="135">
        <f t="shared" si="4"/>
        <v>-554.22171551762881</v>
      </c>
      <c r="O33" s="106" t="str">
        <f>Cash_Flow_Statement</f>
        <v>CFS</v>
      </c>
    </row>
    <row r="34" spans="3:16" x14ac:dyDescent="0.2">
      <c r="C34" s="100"/>
      <c r="D34" s="92"/>
      <c r="E34" s="91" t="s">
        <v>163</v>
      </c>
      <c r="G34" s="103" t="str">
        <f>Currency</f>
        <v>US$'000</v>
      </c>
      <c r="I34" s="136">
        <f>'Opening Balance Sheet'!$I$15</f>
        <v>50</v>
      </c>
      <c r="J34" s="138">
        <f>J27</f>
        <v>65.753424657534239</v>
      </c>
      <c r="K34" s="138">
        <f t="shared" ref="K34:N34" si="5">K27</f>
        <v>73.643835616438366</v>
      </c>
      <c r="L34" s="138">
        <f t="shared" si="5"/>
        <v>81.008219178082214</v>
      </c>
      <c r="M34" s="138">
        <f t="shared" si="5"/>
        <v>87.249836065573788</v>
      </c>
      <c r="N34" s="138">
        <f t="shared" si="5"/>
        <v>91.863320547945236</v>
      </c>
      <c r="O34" s="106" t="str">
        <f>Balance_Sheet</f>
        <v>BS</v>
      </c>
    </row>
    <row r="35" spans="3:16" x14ac:dyDescent="0.2">
      <c r="C35" s="100"/>
      <c r="O35" s="102"/>
    </row>
    <row r="36" spans="3:16" x14ac:dyDescent="0.2">
      <c r="C36" s="100"/>
      <c r="O36" s="102"/>
    </row>
    <row r="37" spans="3:16" ht="16.5" x14ac:dyDescent="0.25">
      <c r="C37" s="78" t="s">
        <v>166</v>
      </c>
      <c r="O37" s="102"/>
    </row>
    <row r="38" spans="3:16" x14ac:dyDescent="0.2">
      <c r="C38" s="100"/>
      <c r="O38" s="102"/>
    </row>
    <row r="39" spans="3:16" ht="15" x14ac:dyDescent="0.25">
      <c r="C39" s="100"/>
      <c r="D39" s="79" t="s">
        <v>114</v>
      </c>
      <c r="I39" s="107"/>
      <c r="O39" s="102"/>
    </row>
    <row r="40" spans="3:16" x14ac:dyDescent="0.2">
      <c r="C40" s="100"/>
      <c r="D40" s="101"/>
      <c r="I40" s="107"/>
      <c r="O40" s="102"/>
    </row>
    <row r="41" spans="3:16" x14ac:dyDescent="0.2">
      <c r="C41" s="100"/>
      <c r="D41" s="92"/>
      <c r="E41" s="91" t="s">
        <v>113</v>
      </c>
      <c r="G41" s="103" t="str">
        <f>Currency</f>
        <v>US$'000</v>
      </c>
      <c r="J41" s="135">
        <f>J19</f>
        <v>400</v>
      </c>
      <c r="K41" s="135">
        <f t="shared" ref="K41:N41" si="6">K19</f>
        <v>448.00000000000006</v>
      </c>
      <c r="L41" s="135">
        <f t="shared" si="6"/>
        <v>492.80000000000013</v>
      </c>
      <c r="M41" s="135">
        <f t="shared" si="6"/>
        <v>532.22400000000016</v>
      </c>
      <c r="N41" s="135">
        <f t="shared" si="6"/>
        <v>558.83520000000021</v>
      </c>
      <c r="O41" s="102"/>
      <c r="P41" s="165" t="str">
        <f ca="1">_xlfn.FORMULATEXT(J41)</f>
        <v>=J19</v>
      </c>
    </row>
    <row r="42" spans="3:16" x14ac:dyDescent="0.2">
      <c r="C42" s="100"/>
      <c r="D42" s="92"/>
      <c r="E42" s="91" t="s">
        <v>167</v>
      </c>
      <c r="G42" s="103" t="str">
        <f>Percentage</f>
        <v>%</v>
      </c>
      <c r="J42" s="70">
        <f>'General Assumptions'!J29</f>
        <v>0.7</v>
      </c>
      <c r="K42" s="70">
        <f>'General Assumptions'!K29</f>
        <v>0.7</v>
      </c>
      <c r="L42" s="70">
        <f>'General Assumptions'!L29</f>
        <v>0.7</v>
      </c>
      <c r="M42" s="70">
        <f>'General Assumptions'!M29</f>
        <v>0.7</v>
      </c>
      <c r="N42" s="70">
        <f>'General Assumptions'!N29</f>
        <v>0.7</v>
      </c>
      <c r="O42" s="102"/>
      <c r="P42" s="165" t="str">
        <f t="shared" ref="P42:P60" ca="1" si="7">_xlfn.FORMULATEXT(J42)</f>
        <v>='General Assumptions'!J29</v>
      </c>
    </row>
    <row r="43" spans="3:16" x14ac:dyDescent="0.2">
      <c r="C43" s="100"/>
      <c r="D43" s="92"/>
      <c r="E43" s="91" t="s">
        <v>168</v>
      </c>
      <c r="G43" s="103" t="str">
        <f>Currency</f>
        <v>US$'000</v>
      </c>
      <c r="J43" s="135">
        <f>J41*J42</f>
        <v>280</v>
      </c>
      <c r="K43" s="135">
        <f t="shared" ref="K43:N43" si="8">K41*K42</f>
        <v>313.60000000000002</v>
      </c>
      <c r="L43" s="135">
        <f t="shared" si="8"/>
        <v>344.96000000000009</v>
      </c>
      <c r="M43" s="135">
        <f t="shared" si="8"/>
        <v>372.55680000000007</v>
      </c>
      <c r="N43" s="135">
        <f t="shared" si="8"/>
        <v>391.18464000000012</v>
      </c>
      <c r="O43" s="102"/>
      <c r="P43" s="165" t="str">
        <f t="shared" ca="1" si="7"/>
        <v>=J41*J42</v>
      </c>
    </row>
    <row r="44" spans="3:16" x14ac:dyDescent="0.2">
      <c r="C44" s="100"/>
      <c r="D44" s="92"/>
      <c r="J44" s="135"/>
      <c r="K44" s="135"/>
      <c r="L44" s="135"/>
      <c r="M44" s="135"/>
      <c r="N44" s="135"/>
      <c r="O44" s="102"/>
      <c r="P44" s="165"/>
    </row>
    <row r="45" spans="3:16" x14ac:dyDescent="0.2">
      <c r="C45" s="100"/>
      <c r="D45" s="92"/>
      <c r="E45" s="80" t="s">
        <v>114</v>
      </c>
      <c r="G45" s="103" t="str">
        <f>Currency</f>
        <v>US$'000</v>
      </c>
      <c r="J45" s="137">
        <f>J41-J43</f>
        <v>120</v>
      </c>
      <c r="K45" s="137">
        <f t="shared" ref="K45:N45" si="9">K41-K43</f>
        <v>134.40000000000003</v>
      </c>
      <c r="L45" s="137">
        <f t="shared" si="9"/>
        <v>147.84000000000003</v>
      </c>
      <c r="M45" s="137">
        <f t="shared" si="9"/>
        <v>159.66720000000009</v>
      </c>
      <c r="N45" s="137">
        <f t="shared" si="9"/>
        <v>167.6505600000001</v>
      </c>
      <c r="O45" s="102"/>
      <c r="P45" s="165" t="str">
        <f t="shared" ca="1" si="7"/>
        <v>=J41-J43</v>
      </c>
    </row>
    <row r="46" spans="3:16" x14ac:dyDescent="0.2">
      <c r="C46" s="100"/>
      <c r="O46" s="102"/>
      <c r="P46" s="165"/>
    </row>
    <row r="47" spans="3:16" ht="15" x14ac:dyDescent="0.25">
      <c r="C47" s="100"/>
      <c r="D47" s="79" t="s">
        <v>128</v>
      </c>
      <c r="O47" s="102"/>
      <c r="P47" s="165"/>
    </row>
    <row r="48" spans="3:16" x14ac:dyDescent="0.2">
      <c r="C48" s="100"/>
      <c r="D48" s="101"/>
      <c r="O48" s="102"/>
      <c r="P48" s="165"/>
    </row>
    <row r="49" spans="3:16" x14ac:dyDescent="0.2">
      <c r="C49" s="100"/>
      <c r="D49" s="92"/>
      <c r="E49" s="91" t="s">
        <v>169</v>
      </c>
      <c r="G49" s="103" t="str">
        <f>No_of_Days</f>
        <v># Days</v>
      </c>
      <c r="J49" s="104">
        <f>'General Assumptions'!J33</f>
        <v>90</v>
      </c>
      <c r="K49" s="104">
        <f>'General Assumptions'!K33</f>
        <v>90</v>
      </c>
      <c r="L49" s="104">
        <f>'General Assumptions'!L33</f>
        <v>90</v>
      </c>
      <c r="M49" s="104">
        <f>'General Assumptions'!M33</f>
        <v>90</v>
      </c>
      <c r="N49" s="104">
        <f>'General Assumptions'!N33</f>
        <v>90</v>
      </c>
      <c r="O49" s="102"/>
      <c r="P49" s="165" t="str">
        <f t="shared" ca="1" si="7"/>
        <v>='General Assumptions'!J33</v>
      </c>
    </row>
    <row r="50" spans="3:16" x14ac:dyDescent="0.2">
      <c r="C50" s="100"/>
      <c r="D50" s="92"/>
      <c r="O50" s="102"/>
      <c r="P50" s="165"/>
    </row>
    <row r="51" spans="3:16" x14ac:dyDescent="0.2">
      <c r="C51" s="100"/>
      <c r="D51" s="92"/>
      <c r="E51" s="91" t="s">
        <v>162</v>
      </c>
      <c r="G51" s="103" t="str">
        <f>No_of_Days</f>
        <v># Days</v>
      </c>
      <c r="J51" s="135">
        <f>J$8</f>
        <v>365</v>
      </c>
      <c r="K51" s="135">
        <f t="shared" ref="K51:N51" si="10">K$8</f>
        <v>365</v>
      </c>
      <c r="L51" s="135">
        <f t="shared" si="10"/>
        <v>365</v>
      </c>
      <c r="M51" s="135">
        <f t="shared" si="10"/>
        <v>366</v>
      </c>
      <c r="N51" s="135">
        <f t="shared" si="10"/>
        <v>365</v>
      </c>
      <c r="O51" s="102"/>
      <c r="P51" s="165" t="str">
        <f t="shared" ca="1" si="7"/>
        <v>=J$8</v>
      </c>
    </row>
    <row r="52" spans="3:16" x14ac:dyDescent="0.2">
      <c r="C52" s="100"/>
      <c r="D52" s="92"/>
      <c r="G52" s="103"/>
      <c r="J52" s="135"/>
      <c r="K52" s="135"/>
      <c r="L52" s="135"/>
      <c r="M52" s="135"/>
      <c r="N52" s="135"/>
      <c r="O52" s="102"/>
      <c r="P52" s="165"/>
    </row>
    <row r="53" spans="3:16" x14ac:dyDescent="0.2">
      <c r="C53" s="100"/>
      <c r="D53" s="92"/>
      <c r="E53" s="91" t="s">
        <v>170</v>
      </c>
      <c r="G53" s="103" t="str">
        <f>Currency</f>
        <v>US$'000</v>
      </c>
      <c r="J53" s="135">
        <f>J49/J51*J45</f>
        <v>29.589041095890408</v>
      </c>
      <c r="K53" s="135">
        <f>K49/K51*K45</f>
        <v>33.139726027397266</v>
      </c>
      <c r="L53" s="135">
        <f>L49/L51*L45</f>
        <v>36.453698630136991</v>
      </c>
      <c r="M53" s="135">
        <f>M49/M51*M45</f>
        <v>39.262426229508222</v>
      </c>
      <c r="N53" s="135">
        <f>N49/N51*N45</f>
        <v>41.338494246575365</v>
      </c>
      <c r="O53" s="102"/>
      <c r="P53" s="165" t="str">
        <f t="shared" ca="1" si="7"/>
        <v>=J49/J51*J45</v>
      </c>
    </row>
    <row r="54" spans="3:16" x14ac:dyDescent="0.2">
      <c r="C54" s="100"/>
      <c r="J54" s="95"/>
      <c r="K54" s="95"/>
      <c r="L54" s="95"/>
      <c r="M54" s="95"/>
      <c r="N54" s="95"/>
      <c r="O54" s="102"/>
      <c r="P54" s="165"/>
    </row>
    <row r="55" spans="3:16" ht="15" x14ac:dyDescent="0.25">
      <c r="C55" s="100"/>
      <c r="D55" s="79" t="str">
        <f>D29</f>
        <v>Control Account</v>
      </c>
      <c r="J55" s="95"/>
      <c r="K55" s="95"/>
      <c r="L55" s="95"/>
      <c r="M55" s="95"/>
      <c r="N55" s="95"/>
      <c r="O55" s="102"/>
      <c r="P55" s="165"/>
    </row>
    <row r="56" spans="3:16" x14ac:dyDescent="0.2">
      <c r="C56" s="100"/>
      <c r="D56" s="101"/>
      <c r="J56" s="95"/>
      <c r="K56" s="95"/>
      <c r="L56" s="95"/>
      <c r="M56" s="95"/>
      <c r="N56" s="95"/>
      <c r="O56" s="102"/>
      <c r="P56" s="165"/>
    </row>
    <row r="57" spans="3:16" x14ac:dyDescent="0.2">
      <c r="C57" s="100"/>
      <c r="D57" s="92"/>
      <c r="E57" s="91" t="s">
        <v>171</v>
      </c>
      <c r="G57" s="103" t="str">
        <f>Currency</f>
        <v>US$'000</v>
      </c>
      <c r="J57" s="135">
        <f>I60</f>
        <v>30</v>
      </c>
      <c r="K57" s="135">
        <f t="shared" ref="K57" si="11">J60</f>
        <v>29.589041095890408</v>
      </c>
      <c r="L57" s="135">
        <f t="shared" ref="L57" si="12">K60</f>
        <v>33.139726027397266</v>
      </c>
      <c r="M57" s="135">
        <f t="shared" ref="M57" si="13">L60</f>
        <v>36.453698630136991</v>
      </c>
      <c r="N57" s="135">
        <f t="shared" ref="N57" si="14">M60</f>
        <v>39.262426229508222</v>
      </c>
      <c r="O57" s="106" t="str">
        <f>Balance_Sheet</f>
        <v>BS</v>
      </c>
      <c r="P57" s="165" t="str">
        <f t="shared" ca="1" si="7"/>
        <v>=I60</v>
      </c>
    </row>
    <row r="58" spans="3:16" x14ac:dyDescent="0.2">
      <c r="C58" s="100"/>
      <c r="D58" s="92"/>
      <c r="E58" s="91" t="s">
        <v>114</v>
      </c>
      <c r="G58" s="103" t="str">
        <f>Currency</f>
        <v>US$'000</v>
      </c>
      <c r="J58" s="135">
        <f>J45</f>
        <v>120</v>
      </c>
      <c r="K58" s="135">
        <f t="shared" ref="K58:N58" si="15">K45</f>
        <v>134.40000000000003</v>
      </c>
      <c r="L58" s="135">
        <f t="shared" si="15"/>
        <v>147.84000000000003</v>
      </c>
      <c r="M58" s="135">
        <f t="shared" si="15"/>
        <v>159.66720000000009</v>
      </c>
      <c r="N58" s="135">
        <f t="shared" si="15"/>
        <v>167.6505600000001</v>
      </c>
      <c r="O58" s="106" t="str">
        <f>Income_Statement</f>
        <v>IS</v>
      </c>
      <c r="P58" s="165" t="str">
        <f t="shared" ca="1" si="7"/>
        <v>=J45</v>
      </c>
    </row>
    <row r="59" spans="3:16" x14ac:dyDescent="0.2">
      <c r="C59" s="100"/>
      <c r="D59" s="92"/>
      <c r="E59" s="91" t="s">
        <v>172</v>
      </c>
      <c r="G59" s="103" t="str">
        <f>Currency</f>
        <v>US$'000</v>
      </c>
      <c r="J59" s="135">
        <f>J60-SUM(J57:J58)</f>
        <v>-120.41095890410959</v>
      </c>
      <c r="K59" s="135">
        <f t="shared" ref="K59:N59" si="16">K60-SUM(K57:K58)</f>
        <v>-130.84931506849318</v>
      </c>
      <c r="L59" s="135">
        <f t="shared" si="16"/>
        <v>-144.52602739726032</v>
      </c>
      <c r="M59" s="135">
        <f t="shared" si="16"/>
        <v>-156.85847240062884</v>
      </c>
      <c r="N59" s="135">
        <f t="shared" si="16"/>
        <v>-165.57449198293295</v>
      </c>
      <c r="O59" s="106" t="str">
        <f>Cash_Flow_Statement</f>
        <v>CFS</v>
      </c>
      <c r="P59" s="165" t="str">
        <f t="shared" ca="1" si="7"/>
        <v>=J60-SUM(J57:J58)</v>
      </c>
    </row>
    <row r="60" spans="3:16" x14ac:dyDescent="0.2">
      <c r="C60" s="100"/>
      <c r="D60" s="92"/>
      <c r="E60" s="91" t="s">
        <v>170</v>
      </c>
      <c r="G60" s="103" t="str">
        <f>Currency</f>
        <v>US$'000</v>
      </c>
      <c r="I60" s="69">
        <f>'Opening Balance Sheet'!I27</f>
        <v>30</v>
      </c>
      <c r="J60" s="138">
        <f>J53</f>
        <v>29.589041095890408</v>
      </c>
      <c r="K60" s="138">
        <f t="shared" ref="K60:N60" si="17">K53</f>
        <v>33.139726027397266</v>
      </c>
      <c r="L60" s="138">
        <f t="shared" si="17"/>
        <v>36.453698630136991</v>
      </c>
      <c r="M60" s="138">
        <f t="shared" si="17"/>
        <v>39.262426229508222</v>
      </c>
      <c r="N60" s="138">
        <f t="shared" si="17"/>
        <v>41.338494246575365</v>
      </c>
      <c r="O60" s="106" t="str">
        <f>Balance_Sheet</f>
        <v>BS</v>
      </c>
      <c r="P60" s="165" t="str">
        <f t="shared" ca="1" si="7"/>
        <v>=J53</v>
      </c>
    </row>
    <row r="61" spans="3:16" x14ac:dyDescent="0.2">
      <c r="C61" s="100"/>
      <c r="O61" s="102"/>
    </row>
    <row r="62" spans="3:16" x14ac:dyDescent="0.2">
      <c r="C62" s="100"/>
      <c r="O62" s="102"/>
    </row>
    <row r="63" spans="3:16" ht="16.5" x14ac:dyDescent="0.25">
      <c r="C63" s="78" t="str">
        <f>'General Assumptions'!C36</f>
        <v>Opex and Cash Payments</v>
      </c>
      <c r="O63" s="102"/>
    </row>
    <row r="64" spans="3:16" x14ac:dyDescent="0.2">
      <c r="C64" s="91" t="str">
        <f>'General Assumptions'!C37</f>
        <v>All expenses are assumed to be paid as they are incurred.</v>
      </c>
      <c r="O64" s="102"/>
    </row>
    <row r="65" spans="3:16" x14ac:dyDescent="0.2">
      <c r="C65" s="100"/>
      <c r="O65" s="102"/>
    </row>
    <row r="66" spans="3:16" ht="15" x14ac:dyDescent="0.25">
      <c r="C66" s="100"/>
      <c r="D66" s="79" t="str">
        <f>'General Assumptions'!D39</f>
        <v>Opex</v>
      </c>
      <c r="O66" s="102"/>
    </row>
    <row r="67" spans="3:16" x14ac:dyDescent="0.2">
      <c r="C67" s="100"/>
      <c r="D67" s="101"/>
      <c r="O67" s="102"/>
    </row>
    <row r="68" spans="3:16" x14ac:dyDescent="0.2">
      <c r="C68" s="100"/>
      <c r="D68" s="92"/>
      <c r="E68" s="91" t="str">
        <f>'General Assumptions'!E41</f>
        <v>Growth Rates Used From</v>
      </c>
      <c r="G68" s="103" t="str">
        <f>Year</f>
        <v>Year</v>
      </c>
      <c r="I68" s="110">
        <f>'General Assumptions'!I41</f>
        <v>45107</v>
      </c>
      <c r="O68" s="102"/>
      <c r="P68" s="19" t="str">
        <f ca="1">_xlfn.FORMULATEXT(I68)</f>
        <v>='General Assumptions'!I41</v>
      </c>
    </row>
    <row r="69" spans="3:16" x14ac:dyDescent="0.2">
      <c r="C69" s="100"/>
      <c r="D69" s="92"/>
      <c r="E69" s="91" t="s">
        <v>173</v>
      </c>
      <c r="G69" s="103" t="str">
        <f>Boolean</f>
        <v>[1,0]</v>
      </c>
      <c r="J69" s="89">
        <f>($I68&lt;=J$7)*1</f>
        <v>0</v>
      </c>
      <c r="K69" s="89">
        <f t="shared" ref="K69:N69" si="18">($I68&lt;=K$7)*1</f>
        <v>0</v>
      </c>
      <c r="L69" s="89">
        <f t="shared" si="18"/>
        <v>1</v>
      </c>
      <c r="M69" s="89">
        <f t="shared" si="18"/>
        <v>1</v>
      </c>
      <c r="N69" s="89">
        <f t="shared" si="18"/>
        <v>1</v>
      </c>
      <c r="O69" s="102"/>
      <c r="P69" s="19" t="str">
        <f ca="1">_xlfn.FORMULATEXT(J69)</f>
        <v>=($I68&lt;=J$7)*1</v>
      </c>
    </row>
    <row r="70" spans="3:16" x14ac:dyDescent="0.2">
      <c r="C70" s="100"/>
      <c r="D70" s="92"/>
      <c r="O70" s="102"/>
      <c r="P70" s="19"/>
    </row>
    <row r="71" spans="3:16" x14ac:dyDescent="0.2">
      <c r="C71" s="100"/>
      <c r="D71" s="92"/>
      <c r="E71" s="91" t="str">
        <f>'General Assumptions'!E42</f>
        <v>Amounts</v>
      </c>
      <c r="G71" s="103" t="str">
        <f>Currency</f>
        <v>US$'000</v>
      </c>
      <c r="J71" s="69">
        <f>'General Assumptions'!J42</f>
        <v>60</v>
      </c>
      <c r="K71" s="69">
        <f>'General Assumptions'!K42</f>
        <v>65</v>
      </c>
      <c r="L71" s="69">
        <f>'General Assumptions'!L42</f>
        <v>70</v>
      </c>
      <c r="M71" s="69">
        <f>'General Assumptions'!M42</f>
        <v>75</v>
      </c>
      <c r="N71" s="69">
        <f>'General Assumptions'!N42</f>
        <v>80</v>
      </c>
      <c r="O71" s="102"/>
      <c r="P71" s="19" t="str">
        <f t="shared" ref="P71:P89" ca="1" si="19">_xlfn.FORMULATEXT(J71)</f>
        <v>='General Assumptions'!J42</v>
      </c>
    </row>
    <row r="72" spans="3:16" x14ac:dyDescent="0.2">
      <c r="C72" s="100"/>
      <c r="D72" s="92"/>
      <c r="E72" s="91" t="str">
        <f>'General Assumptions'!E43</f>
        <v xml:space="preserve">Growth Rates </v>
      </c>
      <c r="G72" s="103" t="str">
        <f>Percentage</f>
        <v>%</v>
      </c>
      <c r="J72" s="24"/>
      <c r="K72" s="70">
        <f>'General Assumptions'!K43</f>
        <v>0.05</v>
      </c>
      <c r="L72" s="70">
        <f>'General Assumptions'!L43</f>
        <v>0.04</v>
      </c>
      <c r="M72" s="70">
        <f>'General Assumptions'!M43</f>
        <v>0.03</v>
      </c>
      <c r="N72" s="70">
        <f>'General Assumptions'!N43</f>
        <v>0.02</v>
      </c>
      <c r="O72" s="102"/>
      <c r="P72" s="19" t="s">
        <v>347</v>
      </c>
    </row>
    <row r="73" spans="3:16" x14ac:dyDescent="0.2">
      <c r="C73" s="100"/>
      <c r="D73" s="92"/>
      <c r="O73" s="102"/>
      <c r="P73" s="19"/>
    </row>
    <row r="74" spans="3:16" x14ac:dyDescent="0.2">
      <c r="C74" s="100"/>
      <c r="D74" s="92"/>
      <c r="E74" s="91" t="s">
        <v>129</v>
      </c>
      <c r="G74" s="103" t="str">
        <f>Currency</f>
        <v>US$'000</v>
      </c>
      <c r="I74" s="111"/>
      <c r="J74" s="135">
        <f>(1-J69)*J71+(J69*I74*(1+J72))</f>
        <v>60</v>
      </c>
      <c r="K74" s="135">
        <f t="shared" ref="K74:N74" si="20">(1-K69)*K71+(K69*J74*(1+K72))</f>
        <v>65</v>
      </c>
      <c r="L74" s="135">
        <f t="shared" si="20"/>
        <v>67.600000000000009</v>
      </c>
      <c r="M74" s="135">
        <f t="shared" si="20"/>
        <v>69.628000000000014</v>
      </c>
      <c r="N74" s="135">
        <f t="shared" si="20"/>
        <v>71.020560000000017</v>
      </c>
      <c r="O74" s="102"/>
      <c r="P74" s="19" t="str">
        <f t="shared" ca="1" si="19"/>
        <v>=(1-J69)*J71+(J69*I74*(1+J72))</v>
      </c>
    </row>
    <row r="75" spans="3:16" x14ac:dyDescent="0.2">
      <c r="C75" s="100"/>
      <c r="O75" s="102"/>
      <c r="P75" s="19"/>
    </row>
    <row r="76" spans="3:16" ht="15" x14ac:dyDescent="0.25">
      <c r="C76" s="100"/>
      <c r="D76" s="79" t="str">
        <f>D47</f>
        <v>Working Capital</v>
      </c>
      <c r="O76" s="102"/>
      <c r="P76" s="19"/>
    </row>
    <row r="77" spans="3:16" x14ac:dyDescent="0.2">
      <c r="C77" s="100"/>
      <c r="D77" s="101"/>
      <c r="O77" s="102"/>
      <c r="P77" s="19"/>
    </row>
    <row r="78" spans="3:16" x14ac:dyDescent="0.2">
      <c r="C78" s="100"/>
      <c r="D78" s="92"/>
      <c r="E78" s="91" t="str">
        <f>E49</f>
        <v>Days Payable</v>
      </c>
      <c r="G78" s="103" t="str">
        <f>No_of_Days</f>
        <v># Days</v>
      </c>
      <c r="J78" s="24"/>
      <c r="K78" s="24"/>
      <c r="L78" s="24"/>
      <c r="M78" s="24"/>
      <c r="N78" s="24"/>
      <c r="O78" s="102"/>
      <c r="P78" s="19"/>
    </row>
    <row r="79" spans="3:16" x14ac:dyDescent="0.2">
      <c r="C79" s="100"/>
      <c r="D79" s="92"/>
      <c r="O79" s="102"/>
      <c r="P79" s="19"/>
    </row>
    <row r="80" spans="3:16" x14ac:dyDescent="0.2">
      <c r="C80" s="100"/>
      <c r="D80" s="92"/>
      <c r="E80" s="91" t="str">
        <f>E51</f>
        <v>Days in Period</v>
      </c>
      <c r="G80" s="103" t="str">
        <f>No_of_Days</f>
        <v># Days</v>
      </c>
      <c r="J80" s="135">
        <f>J$8</f>
        <v>365</v>
      </c>
      <c r="K80" s="135">
        <f t="shared" ref="K80:N80" si="21">K$8</f>
        <v>365</v>
      </c>
      <c r="L80" s="135">
        <f t="shared" si="21"/>
        <v>365</v>
      </c>
      <c r="M80" s="135">
        <f t="shared" si="21"/>
        <v>366</v>
      </c>
      <c r="N80" s="135">
        <f t="shared" si="21"/>
        <v>365</v>
      </c>
      <c r="O80" s="102"/>
      <c r="P80" s="19" t="str">
        <f t="shared" ca="1" si="19"/>
        <v>=J$8</v>
      </c>
    </row>
    <row r="81" spans="3:16" x14ac:dyDescent="0.2">
      <c r="C81" s="100"/>
      <c r="D81" s="92"/>
      <c r="G81" s="103"/>
      <c r="J81" s="135"/>
      <c r="K81" s="135"/>
      <c r="L81" s="135"/>
      <c r="M81" s="135"/>
      <c r="N81" s="135"/>
      <c r="O81" s="102"/>
      <c r="P81" s="19"/>
    </row>
    <row r="82" spans="3:16" x14ac:dyDescent="0.2">
      <c r="C82" s="100"/>
      <c r="D82" s="92"/>
      <c r="E82" s="91" t="str">
        <f>E53</f>
        <v>Closing Payables</v>
      </c>
      <c r="G82" s="103" t="str">
        <f>Currency</f>
        <v>US$'000</v>
      </c>
      <c r="J82" s="135">
        <f>J78/J80*J74</f>
        <v>0</v>
      </c>
      <c r="K82" s="135">
        <f>K78/K80*K74</f>
        <v>0</v>
      </c>
      <c r="L82" s="135">
        <f>L78/L80*L74</f>
        <v>0</v>
      </c>
      <c r="M82" s="135">
        <f>M78/M80*M74</f>
        <v>0</v>
      </c>
      <c r="N82" s="135">
        <f>N78/N80*N74</f>
        <v>0</v>
      </c>
      <c r="O82" s="102"/>
      <c r="P82" s="19" t="str">
        <f t="shared" ca="1" si="19"/>
        <v>=J78/J80*J74</v>
      </c>
    </row>
    <row r="83" spans="3:16" x14ac:dyDescent="0.2">
      <c r="C83" s="100"/>
      <c r="O83" s="102"/>
      <c r="P83" s="19"/>
    </row>
    <row r="84" spans="3:16" ht="15" x14ac:dyDescent="0.25">
      <c r="C84" s="100"/>
      <c r="D84" s="79" t="str">
        <f>D55</f>
        <v>Control Account</v>
      </c>
      <c r="O84" s="102"/>
      <c r="P84" s="19"/>
    </row>
    <row r="85" spans="3:16" x14ac:dyDescent="0.2">
      <c r="C85" s="100"/>
      <c r="D85" s="101"/>
      <c r="O85" s="102"/>
      <c r="P85" s="19"/>
    </row>
    <row r="86" spans="3:16" x14ac:dyDescent="0.2">
      <c r="C86" s="100"/>
      <c r="D86" s="92"/>
      <c r="E86" s="91" t="str">
        <f>E57</f>
        <v>Opening Payables</v>
      </c>
      <c r="G86" s="103" t="str">
        <f>Currency</f>
        <v>US$'000</v>
      </c>
      <c r="J86" s="135">
        <f>I89</f>
        <v>0</v>
      </c>
      <c r="K86" s="135">
        <f t="shared" ref="K86:N86" si="22">J89</f>
        <v>0</v>
      </c>
      <c r="L86" s="135">
        <f t="shared" si="22"/>
        <v>0</v>
      </c>
      <c r="M86" s="135">
        <f t="shared" si="22"/>
        <v>0</v>
      </c>
      <c r="N86" s="135">
        <f t="shared" si="22"/>
        <v>0</v>
      </c>
      <c r="O86" s="112" t="str">
        <f>Balance_Sheet</f>
        <v>BS</v>
      </c>
      <c r="P86" s="19" t="str">
        <f t="shared" ca="1" si="19"/>
        <v>=I89</v>
      </c>
    </row>
    <row r="87" spans="3:16" x14ac:dyDescent="0.2">
      <c r="C87" s="100"/>
      <c r="D87" s="92"/>
      <c r="E87" s="91" t="s">
        <v>129</v>
      </c>
      <c r="G87" s="103" t="str">
        <f>Currency</f>
        <v>US$'000</v>
      </c>
      <c r="J87" s="135">
        <f>J74</f>
        <v>60</v>
      </c>
      <c r="K87" s="135">
        <f t="shared" ref="K87:N87" si="23">K74</f>
        <v>65</v>
      </c>
      <c r="L87" s="135">
        <f t="shared" si="23"/>
        <v>67.600000000000009</v>
      </c>
      <c r="M87" s="135">
        <f t="shared" si="23"/>
        <v>69.628000000000014</v>
      </c>
      <c r="N87" s="135">
        <f t="shared" si="23"/>
        <v>71.020560000000017</v>
      </c>
      <c r="O87" s="112" t="str">
        <f>Income_Statement</f>
        <v>IS</v>
      </c>
      <c r="P87" s="19" t="str">
        <f t="shared" ca="1" si="19"/>
        <v>=J74</v>
      </c>
    </row>
    <row r="88" spans="3:16" x14ac:dyDescent="0.2">
      <c r="C88" s="100"/>
      <c r="D88" s="92"/>
      <c r="E88" s="91" t="str">
        <f>E59</f>
        <v>Cash Payments</v>
      </c>
      <c r="G88" s="103" t="str">
        <f>Currency</f>
        <v>US$'000</v>
      </c>
      <c r="J88" s="135">
        <f>J89-SUM(J86:J87)</f>
        <v>-60</v>
      </c>
      <c r="K88" s="135">
        <f t="shared" ref="K88" si="24">K89-SUM(K86:K87)</f>
        <v>-65</v>
      </c>
      <c r="L88" s="135">
        <f t="shared" ref="L88" si="25">L89-SUM(L86:L87)</f>
        <v>-67.600000000000009</v>
      </c>
      <c r="M88" s="135">
        <f t="shared" ref="M88" si="26">M89-SUM(M86:M87)</f>
        <v>-69.628000000000014</v>
      </c>
      <c r="N88" s="135">
        <f t="shared" ref="N88" si="27">N89-SUM(N86:N87)</f>
        <v>-71.020560000000017</v>
      </c>
      <c r="O88" s="112" t="str">
        <f>Cash_Flow_Statement</f>
        <v>CFS</v>
      </c>
      <c r="P88" s="19" t="str">
        <f t="shared" ca="1" si="19"/>
        <v>=J89-SUM(J86:J87)</v>
      </c>
    </row>
    <row r="89" spans="3:16" x14ac:dyDescent="0.2">
      <c r="C89" s="100"/>
      <c r="D89" s="92"/>
      <c r="E89" s="91" t="str">
        <f>E60</f>
        <v>Closing Payables</v>
      </c>
      <c r="G89" s="103" t="str">
        <f>Currency</f>
        <v>US$'000</v>
      </c>
      <c r="I89" s="111"/>
      <c r="J89" s="138">
        <f>J82</f>
        <v>0</v>
      </c>
      <c r="K89" s="138">
        <f t="shared" ref="K89:N89" si="28">K82</f>
        <v>0</v>
      </c>
      <c r="L89" s="138">
        <f t="shared" si="28"/>
        <v>0</v>
      </c>
      <c r="M89" s="138">
        <f t="shared" si="28"/>
        <v>0</v>
      </c>
      <c r="N89" s="138">
        <f t="shared" si="28"/>
        <v>0</v>
      </c>
      <c r="O89" s="113" t="str">
        <f>Balance_Sheet</f>
        <v>BS</v>
      </c>
      <c r="P89" s="19" t="str">
        <f t="shared" ca="1" si="19"/>
        <v>=J82</v>
      </c>
    </row>
    <row r="90" spans="3:16" x14ac:dyDescent="0.2">
      <c r="C90" s="100"/>
      <c r="O90" s="102"/>
    </row>
    <row r="91" spans="3:16" x14ac:dyDescent="0.2">
      <c r="C91" s="100"/>
      <c r="O91" s="102"/>
    </row>
    <row r="92" spans="3:16" ht="16.5" x14ac:dyDescent="0.25">
      <c r="C92" s="78" t="str">
        <f>'General Assumptions'!C46</f>
        <v>Capex and Related</v>
      </c>
      <c r="O92" s="102"/>
    </row>
    <row r="93" spans="3:16" x14ac:dyDescent="0.2">
      <c r="C93" s="100"/>
      <c r="O93" s="102"/>
    </row>
    <row r="94" spans="3:16" ht="15" x14ac:dyDescent="0.25">
      <c r="C94" s="100"/>
      <c r="D94" s="79" t="str">
        <f>'General Assumptions'!D48</f>
        <v xml:space="preserve">Capital Expenditure </v>
      </c>
      <c r="O94" s="102"/>
    </row>
    <row r="95" spans="3:16" x14ac:dyDescent="0.2">
      <c r="C95" s="100"/>
      <c r="D95" s="101"/>
      <c r="O95" s="102"/>
    </row>
    <row r="96" spans="3:16" x14ac:dyDescent="0.2">
      <c r="C96" s="100"/>
      <c r="D96" s="92"/>
      <c r="E96" s="91" t="s">
        <v>174</v>
      </c>
      <c r="G96" s="103" t="str">
        <f>Currency</f>
        <v>US$'000</v>
      </c>
      <c r="I96" s="140">
        <f>'Opening Balance Sheet'!I20</f>
        <v>450</v>
      </c>
      <c r="J96" s="135"/>
      <c r="K96" s="135"/>
      <c r="L96" s="135"/>
      <c r="M96" s="135"/>
      <c r="N96" s="135"/>
      <c r="O96" s="102"/>
      <c r="P96" s="19" t="str">
        <f ca="1">_xlfn.FORMULATEXT(I96)</f>
        <v>='Opening Balance Sheet'!I20</v>
      </c>
    </row>
    <row r="97" spans="3:16" x14ac:dyDescent="0.2">
      <c r="C97" s="100"/>
      <c r="D97" s="92"/>
      <c r="E97" s="91" t="str">
        <f>'General Assumptions'!E50</f>
        <v xml:space="preserve">Capital Expenditure </v>
      </c>
      <c r="G97" s="103" t="str">
        <f>Currency</f>
        <v>US$'000</v>
      </c>
      <c r="I97" s="135"/>
      <c r="J97" s="140">
        <f>'General Assumptions'!J50</f>
        <v>150</v>
      </c>
      <c r="K97" s="140">
        <f>'General Assumptions'!K50</f>
        <v>180</v>
      </c>
      <c r="L97" s="140">
        <f>'General Assumptions'!L50</f>
        <v>120</v>
      </c>
      <c r="M97" s="140">
        <f>'General Assumptions'!M50</f>
        <v>90</v>
      </c>
      <c r="N97" s="140">
        <f>'General Assumptions'!N50</f>
        <v>100</v>
      </c>
      <c r="O97" s="102"/>
      <c r="P97" s="19" t="str">
        <f ca="1">_xlfn.FORMULATEXT(J97)</f>
        <v>='General Assumptions'!J50</v>
      </c>
    </row>
    <row r="98" spans="3:16" x14ac:dyDescent="0.2">
      <c r="C98" s="100"/>
      <c r="O98" s="102"/>
      <c r="P98" s="19"/>
    </row>
    <row r="99" spans="3:16" ht="15" x14ac:dyDescent="0.25">
      <c r="C99" s="100"/>
      <c r="D99" s="79" t="str">
        <f>'General Assumptions'!D52</f>
        <v>Accounting Depreciation - Straight Line</v>
      </c>
      <c r="O99" s="102"/>
      <c r="P99" s="19"/>
    </row>
    <row r="100" spans="3:16" x14ac:dyDescent="0.2">
      <c r="C100" s="100"/>
      <c r="D100" s="101"/>
      <c r="O100" s="102"/>
      <c r="P100" s="19"/>
    </row>
    <row r="101" spans="3:16" x14ac:dyDescent="0.2">
      <c r="C101" s="100"/>
      <c r="D101" s="92"/>
      <c r="E101" s="91" t="str">
        <f>'General Assumptions'!E54</f>
        <v>Remaining Life of Existing Assets</v>
      </c>
      <c r="G101" s="103" t="str">
        <f>No_of_Years</f>
        <v># Year(s)</v>
      </c>
      <c r="I101" s="140">
        <f>'General Assumptions'!I54</f>
        <v>5</v>
      </c>
      <c r="O101" s="102"/>
      <c r="P101" s="19" t="str">
        <f t="shared" ref="P101:P107" ca="1" si="29">_xlfn.FORMULATEXT(I101)</f>
        <v>='General Assumptions'!I54</v>
      </c>
    </row>
    <row r="102" spans="3:16" x14ac:dyDescent="0.2">
      <c r="C102" s="100"/>
      <c r="D102" s="92"/>
      <c r="E102" s="91" t="str">
        <f>'General Assumptions'!E55</f>
        <v>Annual Rate</v>
      </c>
      <c r="G102" s="103" t="str">
        <f>Percentage</f>
        <v>%</v>
      </c>
      <c r="I102" s="141">
        <f>'General Assumptions'!I55</f>
        <v>0.2</v>
      </c>
      <c r="O102" s="102"/>
      <c r="P102" s="19" t="str">
        <f t="shared" ca="1" si="29"/>
        <v>='General Assumptions'!I55</v>
      </c>
    </row>
    <row r="103" spans="3:16" x14ac:dyDescent="0.2">
      <c r="C103" s="100"/>
      <c r="D103" s="92"/>
      <c r="O103" s="102"/>
      <c r="P103" s="19"/>
    </row>
    <row r="104" spans="3:16" x14ac:dyDescent="0.2">
      <c r="C104" s="100"/>
      <c r="D104" s="92"/>
      <c r="E104" s="91" t="str">
        <f>'General Assumptions'!E57</f>
        <v>Economic Life of New Capex</v>
      </c>
      <c r="G104" s="103" t="str">
        <f>No_of_Years</f>
        <v># Year(s)</v>
      </c>
      <c r="I104" s="140">
        <f>'General Assumptions'!I57</f>
        <v>4</v>
      </c>
      <c r="O104" s="102"/>
      <c r="P104" s="19" t="str">
        <f t="shared" ca="1" si="29"/>
        <v>='General Assumptions'!I57</v>
      </c>
    </row>
    <row r="105" spans="3:16" x14ac:dyDescent="0.2">
      <c r="C105" s="100"/>
      <c r="D105" s="92"/>
      <c r="E105" s="91" t="str">
        <f>'General Assumptions'!E58</f>
        <v>Annual Rate</v>
      </c>
      <c r="G105" s="103" t="str">
        <f>Percentage</f>
        <v>%</v>
      </c>
      <c r="I105" s="141">
        <f>'General Assumptions'!I58</f>
        <v>0.25</v>
      </c>
      <c r="O105" s="102"/>
      <c r="P105" s="19" t="str">
        <f t="shared" ca="1" si="29"/>
        <v>='General Assumptions'!I58</v>
      </c>
    </row>
    <row r="106" spans="3:16" x14ac:dyDescent="0.2">
      <c r="C106" s="100"/>
      <c r="D106" s="92"/>
      <c r="O106" s="102"/>
      <c r="P106" s="19"/>
    </row>
    <row r="107" spans="3:16" x14ac:dyDescent="0.2">
      <c r="C107" s="100"/>
      <c r="D107" s="92"/>
      <c r="E107" s="91" t="s">
        <v>177</v>
      </c>
      <c r="G107" s="103" t="str">
        <f>Currency</f>
        <v>US$'000</v>
      </c>
      <c r="I107" s="135">
        <f>I96*I102</f>
        <v>90</v>
      </c>
      <c r="J107" s="135"/>
      <c r="K107" s="135"/>
      <c r="L107" s="135"/>
      <c r="M107" s="135"/>
      <c r="N107" s="135"/>
      <c r="O107" s="102"/>
      <c r="P107" s="19" t="str">
        <f t="shared" ca="1" si="29"/>
        <v>=I96*I102</v>
      </c>
    </row>
    <row r="108" spans="3:16" x14ac:dyDescent="0.2">
      <c r="C108" s="100"/>
      <c r="D108" s="92"/>
      <c r="E108" s="91" t="s">
        <v>178</v>
      </c>
      <c r="G108" s="103" t="str">
        <f>Currency</f>
        <v>US$'000</v>
      </c>
      <c r="I108" s="135"/>
      <c r="J108" s="135">
        <f>$I105*J97</f>
        <v>37.5</v>
      </c>
      <c r="K108" s="135">
        <f t="shared" ref="K108:N108" si="30">$I105*K97</f>
        <v>45</v>
      </c>
      <c r="L108" s="135">
        <f t="shared" si="30"/>
        <v>30</v>
      </c>
      <c r="M108" s="135">
        <f t="shared" si="30"/>
        <v>22.5</v>
      </c>
      <c r="N108" s="135">
        <f t="shared" si="30"/>
        <v>25</v>
      </c>
      <c r="O108" s="102"/>
      <c r="P108" s="19" t="str">
        <f ca="1">_xlfn.FORMULATEXT(J108)</f>
        <v>=$I105*J97</v>
      </c>
    </row>
    <row r="109" spans="3:16" x14ac:dyDescent="0.2">
      <c r="C109" s="100"/>
      <c r="D109" s="92"/>
      <c r="I109" s="135"/>
      <c r="J109" s="135"/>
      <c r="K109" s="135"/>
      <c r="L109" s="135"/>
      <c r="M109" s="135"/>
      <c r="N109" s="135"/>
      <c r="O109" s="102"/>
      <c r="P109" s="19"/>
    </row>
    <row r="110" spans="3:16" x14ac:dyDescent="0.2">
      <c r="C110" s="100"/>
      <c r="D110" s="92"/>
      <c r="E110" s="91" t="s">
        <v>179</v>
      </c>
      <c r="G110" s="103" t="str">
        <f>Unit</f>
        <v>#</v>
      </c>
      <c r="I110" s="135"/>
      <c r="J110" s="135">
        <f>MIN(J$9,$I104)</f>
        <v>1</v>
      </c>
      <c r="K110" s="135">
        <f t="shared" ref="K110:N110" si="31">MIN(K$9,$I104)</f>
        <v>2</v>
      </c>
      <c r="L110" s="135">
        <f t="shared" si="31"/>
        <v>3</v>
      </c>
      <c r="M110" s="135">
        <f t="shared" si="31"/>
        <v>4</v>
      </c>
      <c r="N110" s="135">
        <f t="shared" si="31"/>
        <v>4</v>
      </c>
      <c r="O110" s="102"/>
      <c r="P110" s="19" t="str">
        <f t="shared" ref="P110:P121" ca="1" si="32">_xlfn.FORMULATEXT(J110)</f>
        <v>=MIN(J$9,$I104)</v>
      </c>
    </row>
    <row r="111" spans="3:16" x14ac:dyDescent="0.2">
      <c r="C111" s="100"/>
      <c r="D111" s="92"/>
      <c r="I111" s="135"/>
      <c r="J111" s="135"/>
      <c r="K111" s="135"/>
      <c r="L111" s="135"/>
      <c r="M111" s="135"/>
      <c r="N111" s="135"/>
      <c r="O111" s="102"/>
      <c r="P111" s="19"/>
    </row>
    <row r="112" spans="3:16" x14ac:dyDescent="0.2">
      <c r="C112" s="100"/>
      <c r="D112" s="92"/>
      <c r="E112" s="91" t="s">
        <v>180</v>
      </c>
      <c r="G112" s="103" t="str">
        <f>Currency</f>
        <v>US$'000</v>
      </c>
      <c r="I112" s="135"/>
      <c r="J112" s="135">
        <f>IF(J$9&lt;=$I101,$I107,0)</f>
        <v>90</v>
      </c>
      <c r="K112" s="135">
        <f t="shared" ref="K112:N112" si="33">IF(K$9&lt;=$I101,$I107,0)</f>
        <v>90</v>
      </c>
      <c r="L112" s="135">
        <f t="shared" si="33"/>
        <v>90</v>
      </c>
      <c r="M112" s="135">
        <f t="shared" si="33"/>
        <v>90</v>
      </c>
      <c r="N112" s="135">
        <f t="shared" si="33"/>
        <v>90</v>
      </c>
      <c r="O112" s="102"/>
      <c r="P112" s="19" t="str">
        <f t="shared" ca="1" si="32"/>
        <v>=IF(J$9&lt;=$I101,$I107,0)</v>
      </c>
    </row>
    <row r="113" spans="3:16" x14ac:dyDescent="0.2">
      <c r="C113" s="100"/>
      <c r="D113" s="92"/>
      <c r="E113" s="91" t="s">
        <v>181</v>
      </c>
      <c r="G113" s="103" t="str">
        <f>Currency</f>
        <v>US$'000</v>
      </c>
      <c r="I113" s="135"/>
      <c r="J113" s="135">
        <f ca="1">SUM(OFFSET(J108,0,0,1,-J110))</f>
        <v>37.5</v>
      </c>
      <c r="K113" s="135">
        <f t="shared" ref="K113:N113" ca="1" si="34">SUM(OFFSET(K108,0,0,1,-K110))</f>
        <v>82.5</v>
      </c>
      <c r="L113" s="135">
        <f t="shared" ca="1" si="34"/>
        <v>112.5</v>
      </c>
      <c r="M113" s="135">
        <f t="shared" ca="1" si="34"/>
        <v>135</v>
      </c>
      <c r="N113" s="135">
        <f t="shared" ca="1" si="34"/>
        <v>122.5</v>
      </c>
      <c r="O113" s="102"/>
      <c r="P113" s="19" t="str">
        <f t="shared" ca="1" si="32"/>
        <v>=SUM(OFFSET(J108,0,0,1,-J110))</v>
      </c>
    </row>
    <row r="114" spans="3:16" x14ac:dyDescent="0.2">
      <c r="C114" s="100"/>
      <c r="D114" s="92"/>
      <c r="E114" s="91" t="s">
        <v>182</v>
      </c>
      <c r="G114" s="103" t="str">
        <f>Currency</f>
        <v>US$'000</v>
      </c>
      <c r="I114" s="135"/>
      <c r="J114" s="138">
        <f ca="1">SUM(J112:J113)</f>
        <v>127.5</v>
      </c>
      <c r="K114" s="138">
        <f t="shared" ref="K114:N114" ca="1" si="35">SUM(K112:K113)</f>
        <v>172.5</v>
      </c>
      <c r="L114" s="138">
        <f t="shared" ca="1" si="35"/>
        <v>202.5</v>
      </c>
      <c r="M114" s="138">
        <f t="shared" ca="1" si="35"/>
        <v>225</v>
      </c>
      <c r="N114" s="138">
        <f t="shared" ca="1" si="35"/>
        <v>212.5</v>
      </c>
      <c r="O114" s="102"/>
      <c r="P114" s="19" t="str">
        <f t="shared" ca="1" si="32"/>
        <v>=SUM(J112:J113)</v>
      </c>
    </row>
    <row r="115" spans="3:16" x14ac:dyDescent="0.2">
      <c r="C115" s="100"/>
      <c r="O115" s="102"/>
      <c r="P115" s="19"/>
    </row>
    <row r="116" spans="3:16" ht="15" x14ac:dyDescent="0.25">
      <c r="C116" s="100"/>
      <c r="D116" s="79" t="str">
        <f>D84</f>
        <v>Control Account</v>
      </c>
      <c r="O116" s="102"/>
      <c r="P116" s="19"/>
    </row>
    <row r="117" spans="3:16" x14ac:dyDescent="0.2">
      <c r="C117" s="100"/>
      <c r="D117" s="101"/>
      <c r="O117" s="102"/>
      <c r="P117" s="19"/>
    </row>
    <row r="118" spans="3:16" x14ac:dyDescent="0.2">
      <c r="C118" s="100"/>
      <c r="E118" s="91" t="s">
        <v>183</v>
      </c>
      <c r="G118" s="103" t="str">
        <f>Currency</f>
        <v>US$'000</v>
      </c>
      <c r="I118" s="111"/>
      <c r="J118" s="135">
        <f>I121</f>
        <v>450</v>
      </c>
      <c r="K118" s="135">
        <f t="shared" ref="K118:M118" ca="1" si="36">J121</f>
        <v>472.5</v>
      </c>
      <c r="L118" s="135">
        <f t="shared" ca="1" si="36"/>
        <v>480</v>
      </c>
      <c r="M118" s="135">
        <f t="shared" ca="1" si="36"/>
        <v>397.5</v>
      </c>
      <c r="N118" s="135">
        <f ca="1">M121</f>
        <v>262.5</v>
      </c>
      <c r="O118" s="113" t="str">
        <f>Balance_Sheet</f>
        <v>BS</v>
      </c>
      <c r="P118" s="19" t="str">
        <f t="shared" ca="1" si="32"/>
        <v>=I121</v>
      </c>
    </row>
    <row r="119" spans="3:16" x14ac:dyDescent="0.2">
      <c r="C119" s="100"/>
      <c r="E119" s="91" t="str">
        <f>E97</f>
        <v xml:space="preserve">Capital Expenditure </v>
      </c>
      <c r="G119" s="103" t="str">
        <f>Currency</f>
        <v>US$'000</v>
      </c>
      <c r="I119" s="111"/>
      <c r="J119" s="135">
        <f>J97</f>
        <v>150</v>
      </c>
      <c r="K119" s="135">
        <f t="shared" ref="K119:N119" si="37">K97</f>
        <v>180</v>
      </c>
      <c r="L119" s="135">
        <f t="shared" si="37"/>
        <v>120</v>
      </c>
      <c r="M119" s="135">
        <f t="shared" si="37"/>
        <v>90</v>
      </c>
      <c r="N119" s="135">
        <f t="shared" si="37"/>
        <v>100</v>
      </c>
      <c r="O119" s="113" t="str">
        <f>Cash_Flow_Statement</f>
        <v>CFS</v>
      </c>
      <c r="P119" s="19" t="str">
        <f t="shared" ca="1" si="32"/>
        <v>=J97</v>
      </c>
    </row>
    <row r="120" spans="3:16" x14ac:dyDescent="0.2">
      <c r="C120" s="100"/>
      <c r="E120" s="91" t="str">
        <f>E114</f>
        <v xml:space="preserve">Total Depreciation </v>
      </c>
      <c r="G120" s="103" t="str">
        <f>Currency</f>
        <v>US$'000</v>
      </c>
      <c r="I120" s="111"/>
      <c r="J120" s="135">
        <f ca="1">-J114</f>
        <v>-127.5</v>
      </c>
      <c r="K120" s="135">
        <f t="shared" ref="K120:N120" ca="1" si="38">-K114</f>
        <v>-172.5</v>
      </c>
      <c r="L120" s="135">
        <f t="shared" ca="1" si="38"/>
        <v>-202.5</v>
      </c>
      <c r="M120" s="135">
        <f t="shared" ca="1" si="38"/>
        <v>-225</v>
      </c>
      <c r="N120" s="135">
        <f t="shared" ca="1" si="38"/>
        <v>-212.5</v>
      </c>
      <c r="O120" s="113" t="str">
        <f>Income_Statement</f>
        <v>IS</v>
      </c>
      <c r="P120" s="19" t="str">
        <f t="shared" ca="1" si="32"/>
        <v>=-J114</v>
      </c>
    </row>
    <row r="121" spans="3:16" x14ac:dyDescent="0.2">
      <c r="C121" s="100"/>
      <c r="E121" s="91" t="s">
        <v>184</v>
      </c>
      <c r="G121" s="103" t="str">
        <f>Currency</f>
        <v>US$'000</v>
      </c>
      <c r="I121" s="89">
        <f>I96</f>
        <v>450</v>
      </c>
      <c r="J121" s="138">
        <f ca="1">SUM(J118:J120)</f>
        <v>472.5</v>
      </c>
      <c r="K121" s="138">
        <f t="shared" ref="K121:N121" ca="1" si="39">SUM(K118:K120)</f>
        <v>480</v>
      </c>
      <c r="L121" s="138">
        <f t="shared" ca="1" si="39"/>
        <v>397.5</v>
      </c>
      <c r="M121" s="138">
        <f t="shared" ca="1" si="39"/>
        <v>262.5</v>
      </c>
      <c r="N121" s="138">
        <f t="shared" ca="1" si="39"/>
        <v>150</v>
      </c>
      <c r="O121" s="113" t="str">
        <f>Balance_Sheet</f>
        <v>BS</v>
      </c>
      <c r="P121" s="19" t="str">
        <f t="shared" ca="1" si="32"/>
        <v>=SUM(J118:J120)</v>
      </c>
    </row>
    <row r="122" spans="3:16" x14ac:dyDescent="0.2">
      <c r="C122" s="100"/>
      <c r="O122" s="102"/>
    </row>
    <row r="123" spans="3:16" x14ac:dyDescent="0.2">
      <c r="C123" s="100"/>
      <c r="O123" s="102"/>
    </row>
    <row r="124" spans="3:16" ht="16.5" x14ac:dyDescent="0.25">
      <c r="C124" s="78" t="str">
        <f>'General Assumptions'!C61</f>
        <v>Debt and Related</v>
      </c>
      <c r="O124" s="102"/>
    </row>
    <row r="125" spans="3:16" x14ac:dyDescent="0.2">
      <c r="C125" s="91" t="str">
        <f>'General Assumptions'!C62</f>
        <v>Movements are assumed to occur ar the end of each period.</v>
      </c>
      <c r="O125" s="102"/>
    </row>
    <row r="126" spans="3:16" x14ac:dyDescent="0.2">
      <c r="C126" s="91" t="str">
        <f>'General Assumptions'!C63</f>
        <v>Interest is assumed to be paid in the following period.</v>
      </c>
      <c r="O126" s="102"/>
    </row>
    <row r="127" spans="3:16" x14ac:dyDescent="0.2">
      <c r="C127" s="100"/>
      <c r="O127" s="102"/>
    </row>
    <row r="128" spans="3:16" ht="15" x14ac:dyDescent="0.25">
      <c r="C128" s="100"/>
      <c r="D128" s="79" t="str">
        <f>'General Assumptions'!D65</f>
        <v>Debt</v>
      </c>
      <c r="O128" s="102"/>
    </row>
    <row r="129" spans="3:16" x14ac:dyDescent="0.2">
      <c r="C129" s="100"/>
      <c r="D129" s="101"/>
      <c r="O129" s="102"/>
    </row>
    <row r="130" spans="3:16" x14ac:dyDescent="0.2">
      <c r="C130" s="100"/>
      <c r="E130" s="91" t="str">
        <f>'General Assumptions'!E67</f>
        <v>Debt Drawdowns</v>
      </c>
      <c r="G130" s="103" t="str">
        <f>Currency</f>
        <v>US$'000</v>
      </c>
      <c r="J130" s="104">
        <f>'General Assumptions'!J67</f>
        <v>20</v>
      </c>
      <c r="K130" s="104">
        <f>'General Assumptions'!K67</f>
        <v>20</v>
      </c>
      <c r="L130" s="104">
        <f>'General Assumptions'!L67</f>
        <v>0</v>
      </c>
      <c r="M130" s="104">
        <f>'General Assumptions'!M67</f>
        <v>0</v>
      </c>
      <c r="N130" s="104">
        <f>'General Assumptions'!N67</f>
        <v>0</v>
      </c>
      <c r="O130" s="102"/>
    </row>
    <row r="131" spans="3:16" x14ac:dyDescent="0.2">
      <c r="C131" s="100"/>
      <c r="E131" s="91" t="str">
        <f>'General Assumptions'!E68</f>
        <v>Debt Repayments</v>
      </c>
      <c r="G131" s="103" t="str">
        <f>Currency</f>
        <v>US$'000</v>
      </c>
      <c r="J131" s="104">
        <f>'General Assumptions'!J68</f>
        <v>0</v>
      </c>
      <c r="K131" s="104">
        <f>'General Assumptions'!K68</f>
        <v>0</v>
      </c>
      <c r="L131" s="104">
        <f>'General Assumptions'!L68</f>
        <v>15</v>
      </c>
      <c r="M131" s="104">
        <f>'General Assumptions'!M68</f>
        <v>25</v>
      </c>
      <c r="N131" s="104">
        <f>'General Assumptions'!N68</f>
        <v>10</v>
      </c>
      <c r="O131" s="102"/>
    </row>
    <row r="132" spans="3:16" x14ac:dyDescent="0.2">
      <c r="C132" s="100"/>
      <c r="O132" s="102"/>
    </row>
    <row r="133" spans="3:16" ht="15" x14ac:dyDescent="0.25">
      <c r="C133" s="100"/>
      <c r="D133" s="79" t="str">
        <f>D116</f>
        <v>Control Account</v>
      </c>
      <c r="O133" s="102"/>
    </row>
    <row r="134" spans="3:16" x14ac:dyDescent="0.2">
      <c r="C134" s="100"/>
      <c r="D134" s="101"/>
      <c r="O134" s="102"/>
    </row>
    <row r="135" spans="3:16" x14ac:dyDescent="0.2">
      <c r="C135" s="100"/>
      <c r="D135" s="92"/>
      <c r="E135" s="91" t="s">
        <v>190</v>
      </c>
      <c r="G135" s="103" t="str">
        <f>Currency</f>
        <v>US$'000</v>
      </c>
      <c r="I135" s="135"/>
      <c r="J135" s="135">
        <f>I138</f>
        <v>150</v>
      </c>
      <c r="K135" s="135">
        <f t="shared" ref="K135:N135" si="40">J138</f>
        <v>170</v>
      </c>
      <c r="L135" s="135">
        <f t="shared" si="40"/>
        <v>190</v>
      </c>
      <c r="M135" s="135">
        <f t="shared" si="40"/>
        <v>175</v>
      </c>
      <c r="N135" s="135">
        <f t="shared" si="40"/>
        <v>150</v>
      </c>
      <c r="O135" s="102" t="str">
        <f>Balance_Sheet</f>
        <v>BS</v>
      </c>
    </row>
    <row r="136" spans="3:16" x14ac:dyDescent="0.2">
      <c r="C136" s="100"/>
      <c r="D136" s="92"/>
      <c r="E136" s="91" t="str">
        <f>E130</f>
        <v>Debt Drawdowns</v>
      </c>
      <c r="G136" s="103" t="str">
        <f>Currency</f>
        <v>US$'000</v>
      </c>
      <c r="I136" s="135"/>
      <c r="J136" s="135">
        <f>J130</f>
        <v>20</v>
      </c>
      <c r="K136" s="135">
        <f t="shared" ref="K136:N136" si="41">K130</f>
        <v>20</v>
      </c>
      <c r="L136" s="135">
        <f t="shared" si="41"/>
        <v>0</v>
      </c>
      <c r="M136" s="135">
        <f t="shared" si="41"/>
        <v>0</v>
      </c>
      <c r="N136" s="135">
        <f t="shared" si="41"/>
        <v>0</v>
      </c>
      <c r="O136" s="109" t="str">
        <f>Cash_Flow_Statement</f>
        <v>CFS</v>
      </c>
    </row>
    <row r="137" spans="3:16" x14ac:dyDescent="0.2">
      <c r="C137" s="100"/>
      <c r="D137" s="92"/>
      <c r="E137" s="91" t="str">
        <f>E131</f>
        <v>Debt Repayments</v>
      </c>
      <c r="G137" s="103" t="str">
        <f>Currency</f>
        <v>US$'000</v>
      </c>
      <c r="I137" s="135"/>
      <c r="J137" s="135">
        <f>-J131</f>
        <v>0</v>
      </c>
      <c r="K137" s="135">
        <f t="shared" ref="K137:N137" si="42">-K131</f>
        <v>0</v>
      </c>
      <c r="L137" s="135">
        <f t="shared" si="42"/>
        <v>-15</v>
      </c>
      <c r="M137" s="135">
        <f t="shared" si="42"/>
        <v>-25</v>
      </c>
      <c r="N137" s="135">
        <f t="shared" si="42"/>
        <v>-10</v>
      </c>
      <c r="O137" s="109" t="str">
        <f>Cash_Flow_Statement</f>
        <v>CFS</v>
      </c>
    </row>
    <row r="138" spans="3:16" x14ac:dyDescent="0.2">
      <c r="C138" s="100"/>
      <c r="D138" s="92"/>
      <c r="E138" s="91" t="s">
        <v>188</v>
      </c>
      <c r="G138" s="103" t="str">
        <f>Currency</f>
        <v>US$'000</v>
      </c>
      <c r="I138" s="140">
        <f>'Opening Balance Sheet'!I35</f>
        <v>150</v>
      </c>
      <c r="J138" s="138">
        <f>SUM(J135:J137)</f>
        <v>170</v>
      </c>
      <c r="K138" s="138">
        <f t="shared" ref="K138:N138" si="43">SUM(K135:K137)</f>
        <v>190</v>
      </c>
      <c r="L138" s="138">
        <f t="shared" si="43"/>
        <v>175</v>
      </c>
      <c r="M138" s="138">
        <f t="shared" si="43"/>
        <v>150</v>
      </c>
      <c r="N138" s="138">
        <f t="shared" si="43"/>
        <v>140</v>
      </c>
      <c r="O138" s="102" t="str">
        <f>Balance_Sheet</f>
        <v>BS</v>
      </c>
    </row>
    <row r="139" spans="3:16" x14ac:dyDescent="0.2">
      <c r="C139" s="100"/>
      <c r="O139" s="102"/>
    </row>
    <row r="140" spans="3:16" ht="15" x14ac:dyDescent="0.25">
      <c r="C140" s="100"/>
      <c r="D140" s="79" t="str">
        <f>'General Assumptions'!D70</f>
        <v xml:space="preserve">Interest </v>
      </c>
      <c r="O140" s="102"/>
      <c r="P140" s="19"/>
    </row>
    <row r="141" spans="3:16" x14ac:dyDescent="0.2">
      <c r="C141" s="100"/>
      <c r="D141" s="101"/>
      <c r="O141" s="102"/>
      <c r="P141" s="19"/>
    </row>
    <row r="142" spans="3:16" x14ac:dyDescent="0.2">
      <c r="C142" s="100"/>
      <c r="E142" s="91" t="str">
        <f>'General Assumptions'!E72</f>
        <v>Interest Rate</v>
      </c>
      <c r="G142" s="103" t="str">
        <f>Percentage</f>
        <v>%</v>
      </c>
      <c r="J142" s="141">
        <f>'General Assumptions'!J72</f>
        <v>0.06</v>
      </c>
      <c r="K142" s="141">
        <f>'General Assumptions'!K72</f>
        <v>6.5000000000000002E-2</v>
      </c>
      <c r="L142" s="141">
        <f>'General Assumptions'!L72</f>
        <v>7.0000000000000007E-2</v>
      </c>
      <c r="M142" s="141">
        <f>'General Assumptions'!M72</f>
        <v>7.4999999999999997E-2</v>
      </c>
      <c r="N142" s="141">
        <f>'General Assumptions'!N72</f>
        <v>0.08</v>
      </c>
      <c r="O142" s="102"/>
      <c r="P142" s="19" t="str">
        <f t="shared" ref="P142:P177" ca="1" si="44">_xlfn.FORMULATEXT(J142)</f>
        <v>='General Assumptions'!J72</v>
      </c>
    </row>
    <row r="143" spans="3:16" x14ac:dyDescent="0.2">
      <c r="C143" s="100"/>
      <c r="O143" s="102"/>
      <c r="P143" s="19"/>
    </row>
    <row r="144" spans="3:16" x14ac:dyDescent="0.2">
      <c r="C144" s="100"/>
      <c r="E144" s="91" t="str">
        <f>E135</f>
        <v>Opening Debt</v>
      </c>
      <c r="G144" s="103" t="str">
        <f>Currency</f>
        <v>US$'000</v>
      </c>
      <c r="J144" s="135">
        <f>J135</f>
        <v>150</v>
      </c>
      <c r="K144" s="135">
        <f t="shared" ref="K144:N144" si="45">K135</f>
        <v>170</v>
      </c>
      <c r="L144" s="135">
        <f t="shared" si="45"/>
        <v>190</v>
      </c>
      <c r="M144" s="135">
        <f t="shared" si="45"/>
        <v>175</v>
      </c>
      <c r="N144" s="135">
        <f t="shared" si="45"/>
        <v>150</v>
      </c>
      <c r="O144" s="102"/>
      <c r="P144" s="19" t="str">
        <f t="shared" ca="1" si="44"/>
        <v>=J135</v>
      </c>
    </row>
    <row r="145" spans="3:16" x14ac:dyDescent="0.2">
      <c r="C145" s="100"/>
      <c r="G145" s="103"/>
      <c r="J145" s="135"/>
      <c r="K145" s="135"/>
      <c r="L145" s="135"/>
      <c r="M145" s="135"/>
      <c r="N145" s="135"/>
      <c r="O145" s="102"/>
      <c r="P145" s="19"/>
    </row>
    <row r="146" spans="3:16" x14ac:dyDescent="0.2">
      <c r="C146" s="100"/>
      <c r="E146" s="91" t="s">
        <v>162</v>
      </c>
      <c r="G146" s="103" t="str">
        <f>Unit</f>
        <v>#</v>
      </c>
      <c r="J146" s="135">
        <f>J$8</f>
        <v>365</v>
      </c>
      <c r="K146" s="135">
        <f t="shared" ref="K146:N146" si="46">K$8</f>
        <v>365</v>
      </c>
      <c r="L146" s="135">
        <f t="shared" si="46"/>
        <v>365</v>
      </c>
      <c r="M146" s="135">
        <f t="shared" si="46"/>
        <v>366</v>
      </c>
      <c r="N146" s="135">
        <f t="shared" si="46"/>
        <v>365</v>
      </c>
      <c r="O146" s="102"/>
      <c r="P146" s="19" t="str">
        <f t="shared" ca="1" si="44"/>
        <v>=J$8</v>
      </c>
    </row>
    <row r="147" spans="3:16" x14ac:dyDescent="0.2">
      <c r="C147" s="100"/>
      <c r="E147" s="91" t="s">
        <v>319</v>
      </c>
      <c r="G147" s="103" t="str">
        <f>Unit</f>
        <v>#</v>
      </c>
      <c r="J147" s="135">
        <f>Days_in_Yr</f>
        <v>365</v>
      </c>
      <c r="K147" s="135">
        <f>Days_in_Yr</f>
        <v>365</v>
      </c>
      <c r="L147" s="135">
        <f>Days_in_Yr</f>
        <v>365</v>
      </c>
      <c r="M147" s="135">
        <f>Days_in_Yr</f>
        <v>365</v>
      </c>
      <c r="N147" s="135">
        <f>Days_in_Yr</f>
        <v>365</v>
      </c>
      <c r="O147" s="102"/>
      <c r="P147" s="19" t="str">
        <f t="shared" ca="1" si="44"/>
        <v>=Days_in_Yr</v>
      </c>
    </row>
    <row r="148" spans="3:16" x14ac:dyDescent="0.2">
      <c r="C148" s="100"/>
      <c r="E148" s="91" t="s">
        <v>320</v>
      </c>
      <c r="G148" s="103" t="str">
        <f>Percentage</f>
        <v>%</v>
      </c>
      <c r="J148" s="145">
        <f>MIN(J146/J147,1)</f>
        <v>1</v>
      </c>
      <c r="K148" s="145">
        <f t="shared" ref="K148:N148" si="47">MIN(K146/K147,1)</f>
        <v>1</v>
      </c>
      <c r="L148" s="145">
        <f t="shared" si="47"/>
        <v>1</v>
      </c>
      <c r="M148" s="145">
        <f t="shared" si="47"/>
        <v>1</v>
      </c>
      <c r="N148" s="145">
        <f t="shared" si="47"/>
        <v>1</v>
      </c>
      <c r="O148" s="102"/>
      <c r="P148" s="19" t="str">
        <f t="shared" ca="1" si="44"/>
        <v>=MIN(J146/J147,1)</v>
      </c>
    </row>
    <row r="149" spans="3:16" x14ac:dyDescent="0.2">
      <c r="C149" s="100"/>
      <c r="G149" s="103"/>
      <c r="J149" s="135"/>
      <c r="K149" s="135"/>
      <c r="L149" s="135"/>
      <c r="M149" s="135"/>
      <c r="N149" s="135"/>
      <c r="O149" s="102"/>
      <c r="P149" s="19"/>
    </row>
    <row r="150" spans="3:16" x14ac:dyDescent="0.2">
      <c r="C150" s="100"/>
      <c r="E150" s="91" t="str">
        <f>D140</f>
        <v xml:space="preserve">Interest </v>
      </c>
      <c r="G150" s="103" t="str">
        <f>Currency</f>
        <v>US$'000</v>
      </c>
      <c r="J150" s="135">
        <f>J144*J142*J148</f>
        <v>9</v>
      </c>
      <c r="K150" s="135">
        <f t="shared" ref="K150:N150" si="48">K144*K142*K148</f>
        <v>11.05</v>
      </c>
      <c r="L150" s="135">
        <f t="shared" si="48"/>
        <v>13.3</v>
      </c>
      <c r="M150" s="135">
        <f t="shared" si="48"/>
        <v>13.125</v>
      </c>
      <c r="N150" s="135">
        <f t="shared" si="48"/>
        <v>12</v>
      </c>
      <c r="O150" s="102"/>
      <c r="P150" s="19" t="str">
        <f t="shared" ca="1" si="44"/>
        <v>=J144*J142*J148</v>
      </c>
    </row>
    <row r="151" spans="3:16" x14ac:dyDescent="0.2">
      <c r="C151" s="100"/>
      <c r="O151" s="102"/>
      <c r="P151" s="19"/>
    </row>
    <row r="152" spans="3:16" ht="15" x14ac:dyDescent="0.25">
      <c r="C152" s="100"/>
      <c r="D152" s="79" t="str">
        <f>D116</f>
        <v>Control Account</v>
      </c>
      <c r="O152" s="102"/>
      <c r="P152" s="19"/>
    </row>
    <row r="153" spans="3:16" x14ac:dyDescent="0.2">
      <c r="C153" s="100"/>
      <c r="D153" s="101"/>
      <c r="O153" s="102"/>
      <c r="P153" s="19"/>
    </row>
    <row r="154" spans="3:16" x14ac:dyDescent="0.2">
      <c r="C154" s="100"/>
      <c r="D154" s="92"/>
      <c r="E154" s="91" t="s">
        <v>294</v>
      </c>
      <c r="G154" s="103" t="str">
        <f>Currency</f>
        <v>US$'000</v>
      </c>
      <c r="I154" s="135"/>
      <c r="J154" s="135">
        <f>I157</f>
        <v>20</v>
      </c>
      <c r="K154" s="135">
        <f t="shared" ref="K154:N154" si="49">J157</f>
        <v>9</v>
      </c>
      <c r="L154" s="135">
        <f t="shared" si="49"/>
        <v>11.05</v>
      </c>
      <c r="M154" s="135">
        <f t="shared" si="49"/>
        <v>13.3</v>
      </c>
      <c r="N154" s="135">
        <f t="shared" si="49"/>
        <v>13.125</v>
      </c>
      <c r="O154" s="102" t="str">
        <f>Balance_Sheet</f>
        <v>BS</v>
      </c>
      <c r="P154" s="19" t="str">
        <f t="shared" ca="1" si="44"/>
        <v>=I157</v>
      </c>
    </row>
    <row r="155" spans="3:16" x14ac:dyDescent="0.2">
      <c r="C155" s="100"/>
      <c r="D155" s="92"/>
      <c r="E155" s="91" t="s">
        <v>156</v>
      </c>
      <c r="G155" s="103" t="str">
        <f>Currency</f>
        <v>US$'000</v>
      </c>
      <c r="I155" s="135"/>
      <c r="J155" s="135">
        <f>J150</f>
        <v>9</v>
      </c>
      <c r="K155" s="135">
        <f t="shared" ref="K155:N155" si="50">K150</f>
        <v>11.05</v>
      </c>
      <c r="L155" s="135">
        <f t="shared" si="50"/>
        <v>13.3</v>
      </c>
      <c r="M155" s="135">
        <f t="shared" si="50"/>
        <v>13.125</v>
      </c>
      <c r="N155" s="135">
        <f t="shared" si="50"/>
        <v>12</v>
      </c>
      <c r="O155" s="106" t="str">
        <f>Income_Statement</f>
        <v>IS</v>
      </c>
      <c r="P155" s="19" t="str">
        <f t="shared" ca="1" si="44"/>
        <v>=J150</v>
      </c>
    </row>
    <row r="156" spans="3:16" x14ac:dyDescent="0.2">
      <c r="C156" s="100"/>
      <c r="D156" s="92"/>
      <c r="E156" s="91" t="s">
        <v>157</v>
      </c>
      <c r="G156" s="103" t="str">
        <f>Currency</f>
        <v>US$'000</v>
      </c>
      <c r="I156" s="135"/>
      <c r="J156" s="135">
        <f t="shared" ref="J156:N156" si="51">-J154</f>
        <v>-20</v>
      </c>
      <c r="K156" s="135">
        <f t="shared" si="51"/>
        <v>-9</v>
      </c>
      <c r="L156" s="135">
        <f t="shared" si="51"/>
        <v>-11.05</v>
      </c>
      <c r="M156" s="135">
        <f t="shared" si="51"/>
        <v>-13.3</v>
      </c>
      <c r="N156" s="135">
        <f t="shared" si="51"/>
        <v>-13.125</v>
      </c>
      <c r="O156" s="109" t="str">
        <f>Cash_Flow_Statement</f>
        <v>CFS</v>
      </c>
      <c r="P156" s="19" t="str">
        <f t="shared" ca="1" si="44"/>
        <v>=-J154</v>
      </c>
    </row>
    <row r="157" spans="3:16" x14ac:dyDescent="0.2">
      <c r="C157" s="100"/>
      <c r="D157" s="92"/>
      <c r="E157" s="91" t="s">
        <v>295</v>
      </c>
      <c r="G157" s="103" t="str">
        <f>Currency</f>
        <v>US$'000</v>
      </c>
      <c r="I157" s="140">
        <f>'Opening Balance Sheet'!I28</f>
        <v>20</v>
      </c>
      <c r="J157" s="138">
        <f>SUM(J154:J156)</f>
        <v>9</v>
      </c>
      <c r="K157" s="138">
        <f t="shared" ref="K157:N157" si="52">SUM(K154:K156)</f>
        <v>11.05</v>
      </c>
      <c r="L157" s="138">
        <f t="shared" si="52"/>
        <v>13.3</v>
      </c>
      <c r="M157" s="138">
        <f t="shared" si="52"/>
        <v>13.125</v>
      </c>
      <c r="N157" s="138">
        <f t="shared" si="52"/>
        <v>12</v>
      </c>
      <c r="O157" s="102" t="str">
        <f>Balance_Sheet</f>
        <v>BS</v>
      </c>
      <c r="P157" s="19" t="str">
        <f t="shared" ca="1" si="44"/>
        <v>=SUM(J154:J156)</v>
      </c>
    </row>
    <row r="158" spans="3:16" x14ac:dyDescent="0.2">
      <c r="C158" s="100"/>
      <c r="O158" s="102"/>
      <c r="P158" s="19"/>
    </row>
    <row r="159" spans="3:16" x14ac:dyDescent="0.2">
      <c r="C159" s="100"/>
      <c r="O159" s="102"/>
      <c r="P159" s="19"/>
    </row>
    <row r="160" spans="3:16" ht="16.5" x14ac:dyDescent="0.25">
      <c r="C160" s="78" t="s">
        <v>150</v>
      </c>
      <c r="O160" s="102"/>
      <c r="P160" s="19"/>
    </row>
    <row r="161" spans="4:16" x14ac:dyDescent="0.2">
      <c r="O161" s="102"/>
      <c r="P161" s="19"/>
    </row>
    <row r="162" spans="4:16" x14ac:dyDescent="0.2">
      <c r="D162" s="92"/>
      <c r="E162" s="91" t="s">
        <v>151</v>
      </c>
      <c r="G162" s="103" t="s">
        <v>106</v>
      </c>
      <c r="J162" s="141">
        <f>'General Assumptions'!J76</f>
        <v>0.01</v>
      </c>
      <c r="K162" s="141">
        <f>'General Assumptions'!K76</f>
        <v>0.01</v>
      </c>
      <c r="L162" s="141">
        <f>'General Assumptions'!L76</f>
        <v>0.01</v>
      </c>
      <c r="M162" s="141">
        <f>'General Assumptions'!M76</f>
        <v>0.01</v>
      </c>
      <c r="N162" s="141">
        <f>'General Assumptions'!N76</f>
        <v>0.01</v>
      </c>
      <c r="O162" s="102"/>
      <c r="P162" s="19" t="str">
        <f t="shared" ca="1" si="44"/>
        <v>='General Assumptions'!J76</v>
      </c>
    </row>
    <row r="163" spans="4:16" x14ac:dyDescent="0.2">
      <c r="D163" s="92"/>
      <c r="O163" s="102"/>
      <c r="P163" s="19"/>
    </row>
    <row r="164" spans="4:16" x14ac:dyDescent="0.2">
      <c r="D164" s="92"/>
      <c r="E164" s="91" t="s">
        <v>152</v>
      </c>
      <c r="G164" s="103" t="s">
        <v>106</v>
      </c>
      <c r="I164" s="149">
        <f>'General Assumptions'!I78</f>
        <v>0.5</v>
      </c>
      <c r="O164" s="102"/>
      <c r="P164" s="19" t="str">
        <f ca="1">_xlfn.FORMULATEXT(I164)</f>
        <v>='General Assumptions'!I78</v>
      </c>
    </row>
    <row r="165" spans="4:16" x14ac:dyDescent="0.2">
      <c r="D165" s="92"/>
      <c r="O165" s="102"/>
      <c r="P165" s="19"/>
    </row>
    <row r="166" spans="4:16" x14ac:dyDescent="0.2">
      <c r="D166" s="92"/>
      <c r="E166" s="91" t="s">
        <v>153</v>
      </c>
      <c r="G166" s="103" t="s">
        <v>104</v>
      </c>
      <c r="J166" s="140">
        <f>IF(J$9=1,'Opening Balance Sheet'!$I$14,'Balance Sheet'!I$14)</f>
        <v>250</v>
      </c>
      <c r="K166" s="140">
        <f ca="1">IF(K$9=1,'Opening Balance Sheet'!$I$14,'Balance Sheet'!J$14)</f>
        <v>263.83561643835617</v>
      </c>
      <c r="L166" s="140">
        <f ca="1">IF(L$9=1,'Opening Balance Sheet'!$I$14,'Balance Sheet'!K$14)</f>
        <v>352.73540688643129</v>
      </c>
      <c r="M166" s="140">
        <f ca="1">IF(M$9=1,'Opening Balance Sheet'!$I$14,'Balance Sheet'!L$14)</f>
        <v>462.95828583727996</v>
      </c>
      <c r="N166" s="140">
        <f ca="1">IF(N$9=1,'Opening Balance Sheet'!$I$14,'Balance Sheet'!M$14)</f>
        <v>627.15038477912412</v>
      </c>
      <c r="O166" s="102"/>
      <c r="P166" s="19" t="str">
        <f t="shared" ca="1" si="44"/>
        <v>=IF(J$9=1,'Opening Balance Sheet'!$I$14,'Balance Sheet'!I$14)</v>
      </c>
    </row>
    <row r="167" spans="4:16" x14ac:dyDescent="0.2">
      <c r="D167" s="92"/>
      <c r="E167" s="91" t="s">
        <v>293</v>
      </c>
      <c r="G167" s="103" t="s">
        <v>104</v>
      </c>
      <c r="J167" s="140">
        <f ca="1">'Cash Flow Statement'!J22+'Cash Flow Statement'!J26+'Cash Flow Statement'!J35</f>
        <v>13.835616438356169</v>
      </c>
      <c r="K167" s="140">
        <f ca="1">'Cash Flow Statement'!K22+'Cash Flow Statement'!K26+'Cash Flow Statement'!K35</f>
        <v>86.321588659623771</v>
      </c>
      <c r="L167" s="140">
        <f ca="1">'Cash Flow Statement'!L22+'Cash Flow Statement'!L26+'Cash Flow Statement'!L35</f>
        <v>107.14213222964273</v>
      </c>
      <c r="M167" s="140">
        <f ca="1">'Cash Flow Statement'!M22+'Cash Flow Statement'!M26+'Cash Flow Statement'!M35</f>
        <v>160.11476353791784</v>
      </c>
      <c r="N167" s="140">
        <f ca="1">'Cash Flow Statement'!N22+'Cash Flow Statement'!N26+'Cash Flow Statement'!N35</f>
        <v>155.43081542100037</v>
      </c>
      <c r="O167" s="102"/>
      <c r="P167" s="19" t="str">
        <f t="shared" ca="1" si="44"/>
        <v>='Cash Flow Statement'!J22+'Cash Flow Statement'!J26+'Cash Flow Statement'!J35</v>
      </c>
    </row>
    <row r="168" spans="4:16" x14ac:dyDescent="0.2">
      <c r="D168" s="92"/>
      <c r="E168" s="91" t="s">
        <v>154</v>
      </c>
      <c r="G168" s="103" t="s">
        <v>106</v>
      </c>
      <c r="J168" s="141">
        <f>'General Assumptions'!$I$85</f>
        <v>0.3</v>
      </c>
      <c r="K168" s="141">
        <f>'General Assumptions'!$I$85</f>
        <v>0.3</v>
      </c>
      <c r="L168" s="141">
        <f>'General Assumptions'!$I$85</f>
        <v>0.3</v>
      </c>
      <c r="M168" s="141">
        <f>'General Assumptions'!$I$85</f>
        <v>0.3</v>
      </c>
      <c r="N168" s="141">
        <f>'General Assumptions'!$I$85</f>
        <v>0.3</v>
      </c>
      <c r="O168" s="102"/>
      <c r="P168" s="19" t="str">
        <f t="shared" ca="1" si="44"/>
        <v>='General Assumptions'!$I$85</v>
      </c>
    </row>
    <row r="169" spans="4:16" x14ac:dyDescent="0.2">
      <c r="D169" s="92"/>
      <c r="O169" s="102"/>
      <c r="P169" s="19"/>
    </row>
    <row r="170" spans="4:16" x14ac:dyDescent="0.2">
      <c r="D170" s="92"/>
      <c r="E170" s="91" t="s">
        <v>150</v>
      </c>
      <c r="G170" s="103" t="s">
        <v>104</v>
      </c>
      <c r="J170" s="135">
        <f ca="1">(J166+(1-$I$164)*J167)*J162/(1-(1-$I$164)*(1-J168)*J162)</f>
        <v>2.5782017884513606</v>
      </c>
      <c r="K170" s="135">
        <f t="shared" ref="K170:N170" ca="1" si="53">(K166+(1-$I$164)*K167)*K162/(1-(1-$I$164)*(1-K168)*K162)</f>
        <v>3.0807467212059012</v>
      </c>
      <c r="L170" s="135">
        <f t="shared" ca="1" si="53"/>
        <v>4.0773354039262681</v>
      </c>
      <c r="M170" s="135">
        <f t="shared" ca="1" si="53"/>
        <v>5.4492289774835809</v>
      </c>
      <c r="N170" s="135">
        <f t="shared" ca="1" si="53"/>
        <v>7.0734148769656215</v>
      </c>
      <c r="O170" s="102"/>
      <c r="P170" s="19" t="str">
        <f t="shared" ca="1" si="44"/>
        <v>=(J166+(1-$I$164)*J167)*J162/(1-(1-$I$164)*(1-J168)*J162)</v>
      </c>
    </row>
    <row r="171" spans="4:16" x14ac:dyDescent="0.2">
      <c r="J171" s="135"/>
      <c r="K171" s="135"/>
      <c r="L171" s="135"/>
      <c r="M171" s="135"/>
      <c r="N171" s="135"/>
      <c r="O171" s="102"/>
      <c r="P171" s="19"/>
    </row>
    <row r="172" spans="4:16" ht="15" x14ac:dyDescent="0.25">
      <c r="D172" s="79" t="s">
        <v>145</v>
      </c>
      <c r="J172" s="135"/>
      <c r="K172" s="135"/>
      <c r="L172" s="135"/>
      <c r="M172" s="135"/>
      <c r="N172" s="135"/>
      <c r="O172" s="102"/>
      <c r="P172" s="19"/>
    </row>
    <row r="173" spans="4:16" x14ac:dyDescent="0.2">
      <c r="D173" s="101"/>
      <c r="J173" s="135"/>
      <c r="K173" s="135"/>
      <c r="L173" s="135"/>
      <c r="M173" s="135"/>
      <c r="N173" s="135"/>
      <c r="O173" s="102"/>
      <c r="P173" s="19"/>
    </row>
    <row r="174" spans="4:16" x14ac:dyDescent="0.2">
      <c r="D174" s="92"/>
      <c r="E174" s="91" t="s">
        <v>155</v>
      </c>
      <c r="G174" s="103" t="s">
        <v>104</v>
      </c>
      <c r="J174" s="135">
        <f>I177</f>
        <v>0</v>
      </c>
      <c r="K174" s="135">
        <f t="shared" ref="K174:N174" ca="1" si="54">J177</f>
        <v>2.5782017884513606</v>
      </c>
      <c r="L174" s="135">
        <f t="shared" ca="1" si="54"/>
        <v>3.0807467212059012</v>
      </c>
      <c r="M174" s="135">
        <f t="shared" ca="1" si="54"/>
        <v>4.0773354039262681</v>
      </c>
      <c r="N174" s="135">
        <f t="shared" ca="1" si="54"/>
        <v>5.44922897748358</v>
      </c>
      <c r="O174" s="106" t="str">
        <f>Balance_Sheet</f>
        <v>BS</v>
      </c>
      <c r="P174" s="19" t="str">
        <f t="shared" ca="1" si="44"/>
        <v>=I177</v>
      </c>
    </row>
    <row r="175" spans="4:16" x14ac:dyDescent="0.2">
      <c r="D175" s="92"/>
      <c r="E175" s="91" t="s">
        <v>322</v>
      </c>
      <c r="G175" s="103" t="s">
        <v>104</v>
      </c>
      <c r="J175" s="135">
        <f ca="1">J170</f>
        <v>2.5782017884513606</v>
      </c>
      <c r="K175" s="135">
        <f t="shared" ref="K175:N175" ca="1" si="55">K170</f>
        <v>3.0807467212059012</v>
      </c>
      <c r="L175" s="135">
        <f t="shared" ca="1" si="55"/>
        <v>4.0773354039262681</v>
      </c>
      <c r="M175" s="135">
        <f t="shared" ca="1" si="55"/>
        <v>5.4492289774835809</v>
      </c>
      <c r="N175" s="135">
        <f t="shared" ca="1" si="55"/>
        <v>7.0734148769656215</v>
      </c>
      <c r="O175" s="106" t="str">
        <f>Income_Statement</f>
        <v>IS</v>
      </c>
      <c r="P175" s="19" t="str">
        <f t="shared" ca="1" si="44"/>
        <v>=J170</v>
      </c>
    </row>
    <row r="176" spans="4:16" x14ac:dyDescent="0.2">
      <c r="D176" s="92"/>
      <c r="E176" s="91" t="s">
        <v>323</v>
      </c>
      <c r="G176" s="103" t="s">
        <v>104</v>
      </c>
      <c r="J176" s="135">
        <f>-J174</f>
        <v>0</v>
      </c>
      <c r="K176" s="135">
        <f t="shared" ref="K176:N176" ca="1" si="56">-K174</f>
        <v>-2.5782017884513606</v>
      </c>
      <c r="L176" s="135">
        <f t="shared" ca="1" si="56"/>
        <v>-3.0807467212059012</v>
      </c>
      <c r="M176" s="135">
        <f t="shared" ca="1" si="56"/>
        <v>-4.0773354039262681</v>
      </c>
      <c r="N176" s="135">
        <f t="shared" ca="1" si="56"/>
        <v>-5.44922897748358</v>
      </c>
      <c r="O176" s="106" t="str">
        <f>Cash_Flow_Statement</f>
        <v>CFS</v>
      </c>
      <c r="P176" s="19" t="str">
        <f t="shared" ca="1" si="44"/>
        <v>=-J174</v>
      </c>
    </row>
    <row r="177" spans="3:16" x14ac:dyDescent="0.2">
      <c r="D177" s="92"/>
      <c r="E177" s="91" t="s">
        <v>158</v>
      </c>
      <c r="G177" s="103" t="s">
        <v>104</v>
      </c>
      <c r="I177" s="111"/>
      <c r="J177" s="138">
        <f ca="1">SUM(J174:J176)</f>
        <v>2.5782017884513606</v>
      </c>
      <c r="K177" s="138">
        <f t="shared" ref="K177:N177" ca="1" si="57">SUM(K174:K176)</f>
        <v>3.0807467212059012</v>
      </c>
      <c r="L177" s="138">
        <f t="shared" ca="1" si="57"/>
        <v>4.0773354039262681</v>
      </c>
      <c r="M177" s="138">
        <f t="shared" ca="1" si="57"/>
        <v>5.44922897748358</v>
      </c>
      <c r="N177" s="138">
        <f t="shared" ca="1" si="57"/>
        <v>7.0734148769656215</v>
      </c>
      <c r="O177" s="106" t="str">
        <f>Balance_Sheet</f>
        <v>BS</v>
      </c>
      <c r="P177" s="19" t="str">
        <f t="shared" ca="1" si="44"/>
        <v>=SUM(J174:J176)</v>
      </c>
    </row>
    <row r="178" spans="3:16" x14ac:dyDescent="0.2">
      <c r="C178" s="100"/>
      <c r="O178" s="102"/>
    </row>
    <row r="179" spans="3:16" x14ac:dyDescent="0.2">
      <c r="C179" s="100"/>
      <c r="O179" s="102"/>
    </row>
    <row r="180" spans="3:16" ht="16.5" x14ac:dyDescent="0.25">
      <c r="C180" s="78" t="s">
        <v>131</v>
      </c>
      <c r="O180" s="102"/>
    </row>
    <row r="181" spans="3:16" x14ac:dyDescent="0.2">
      <c r="C181" s="100"/>
      <c r="O181" s="102"/>
    </row>
    <row r="182" spans="3:16" ht="15" x14ac:dyDescent="0.25">
      <c r="C182" s="100"/>
      <c r="D182" s="79" t="str">
        <f>'General Assumptions'!D87</f>
        <v>Permanent Differences</v>
      </c>
      <c r="O182" s="102"/>
    </row>
    <row r="183" spans="3:16" x14ac:dyDescent="0.2">
      <c r="C183" s="100"/>
      <c r="D183" s="101"/>
      <c r="O183" s="102"/>
    </row>
    <row r="184" spans="3:16" x14ac:dyDescent="0.2">
      <c r="C184" s="100"/>
      <c r="E184" s="91" t="str">
        <f>'General Assumptions'!E89</f>
        <v>Non-Assessable Revenue</v>
      </c>
      <c r="G184" s="103" t="str">
        <f>Currency</f>
        <v>US$'000</v>
      </c>
      <c r="J184" s="140">
        <f>'General Assumptions'!J89</f>
        <v>25</v>
      </c>
      <c r="K184" s="140">
        <f>'General Assumptions'!K89</f>
        <v>25</v>
      </c>
      <c r="L184" s="140">
        <f>'General Assumptions'!L89</f>
        <v>25</v>
      </c>
      <c r="M184" s="140">
        <f>'General Assumptions'!M89</f>
        <v>25</v>
      </c>
      <c r="N184" s="140">
        <f>'General Assumptions'!N89</f>
        <v>25</v>
      </c>
      <c r="O184" s="102"/>
      <c r="P184" s="19" t="str">
        <f ca="1">_xlfn.FORMULATEXT(J184)</f>
        <v>='General Assumptions'!J89</v>
      </c>
    </row>
    <row r="185" spans="3:16" x14ac:dyDescent="0.2">
      <c r="C185" s="100"/>
      <c r="E185" s="91" t="str">
        <f>'General Assumptions'!E90</f>
        <v>Disallowable Expenses</v>
      </c>
      <c r="G185" s="103" t="str">
        <f>Currency</f>
        <v>US$'000</v>
      </c>
      <c r="J185" s="140">
        <f>'General Assumptions'!J90</f>
        <v>40</v>
      </c>
      <c r="K185" s="140">
        <f>'General Assumptions'!K90</f>
        <v>16</v>
      </c>
      <c r="L185" s="140">
        <f>'General Assumptions'!L90</f>
        <v>25</v>
      </c>
      <c r="M185" s="140">
        <f>'General Assumptions'!M90</f>
        <v>30</v>
      </c>
      <c r="N185" s="140">
        <f>'General Assumptions'!N90</f>
        <v>50</v>
      </c>
      <c r="O185" s="102"/>
      <c r="P185" s="19" t="str">
        <f t="shared" ref="P185:P246" ca="1" si="58">_xlfn.FORMULATEXT(J185)</f>
        <v>='General Assumptions'!J90</v>
      </c>
    </row>
    <row r="186" spans="3:16" x14ac:dyDescent="0.2">
      <c r="C186" s="100"/>
      <c r="O186" s="102"/>
      <c r="P186" s="19"/>
    </row>
    <row r="187" spans="3:16" ht="15" x14ac:dyDescent="0.25">
      <c r="C187" s="100"/>
      <c r="D187" s="79" t="s">
        <v>194</v>
      </c>
      <c r="O187" s="102"/>
      <c r="P187" s="19"/>
    </row>
    <row r="188" spans="3:16" x14ac:dyDescent="0.2">
      <c r="C188" s="100"/>
      <c r="D188" s="101"/>
      <c r="O188" s="102"/>
      <c r="P188" s="19"/>
    </row>
    <row r="189" spans="3:16" x14ac:dyDescent="0.2">
      <c r="C189" s="100"/>
      <c r="E189" s="91" t="str">
        <f>'Income Statement'!D24</f>
        <v>NPBT</v>
      </c>
      <c r="G189" s="103" t="str">
        <f>Currency</f>
        <v>US$'000</v>
      </c>
      <c r="J189" s="140">
        <f ca="1">'Income Statement'!J24</f>
        <v>86.078201788451366</v>
      </c>
      <c r="K189" s="140">
        <f ca="1">'Income Statement'!K24</f>
        <v>68.130746721205924</v>
      </c>
      <c r="L189" s="140">
        <f ca="1">'Income Statement'!L24</f>
        <v>65.637335403926343</v>
      </c>
      <c r="M189" s="140">
        <f ca="1">'Income Statement'!M24</f>
        <v>70.253028977483609</v>
      </c>
      <c r="N189" s="140">
        <f ca="1">'Income Statement'!N24</f>
        <v>102.73749487696574</v>
      </c>
      <c r="O189" s="102"/>
      <c r="P189" s="19" t="str">
        <f t="shared" ca="1" si="58"/>
        <v>='Income Statement'!J24</v>
      </c>
    </row>
    <row r="190" spans="3:16" x14ac:dyDescent="0.2">
      <c r="C190" s="100"/>
      <c r="E190" s="91" t="s">
        <v>195</v>
      </c>
      <c r="G190" s="103" t="str">
        <f>Currency</f>
        <v>US$'000</v>
      </c>
      <c r="J190" s="135">
        <f>-J184</f>
        <v>-25</v>
      </c>
      <c r="K190" s="135">
        <f t="shared" ref="K190:N190" si="59">-K184</f>
        <v>-25</v>
      </c>
      <c r="L190" s="135">
        <f t="shared" si="59"/>
        <v>-25</v>
      </c>
      <c r="M190" s="135">
        <f t="shared" si="59"/>
        <v>-25</v>
      </c>
      <c r="N190" s="135">
        <f t="shared" si="59"/>
        <v>-25</v>
      </c>
      <c r="O190" s="102"/>
      <c r="P190" s="19" t="str">
        <f t="shared" ca="1" si="58"/>
        <v>=-J184</v>
      </c>
    </row>
    <row r="191" spans="3:16" x14ac:dyDescent="0.2">
      <c r="C191" s="100"/>
      <c r="E191" s="91" t="s">
        <v>196</v>
      </c>
      <c r="G191" s="103" t="str">
        <f>Currency</f>
        <v>US$'000</v>
      </c>
      <c r="J191" s="135">
        <f>J185</f>
        <v>40</v>
      </c>
      <c r="K191" s="135">
        <f t="shared" ref="K191:N191" si="60">K185</f>
        <v>16</v>
      </c>
      <c r="L191" s="135">
        <f t="shared" si="60"/>
        <v>25</v>
      </c>
      <c r="M191" s="135">
        <f t="shared" si="60"/>
        <v>30</v>
      </c>
      <c r="N191" s="135">
        <f t="shared" si="60"/>
        <v>50</v>
      </c>
      <c r="O191" s="102"/>
      <c r="P191" s="19" t="str">
        <f t="shared" ca="1" si="58"/>
        <v>=J185</v>
      </c>
    </row>
    <row r="192" spans="3:16" x14ac:dyDescent="0.2">
      <c r="C192" s="100"/>
      <c r="E192" s="80" t="str">
        <f>D187</f>
        <v xml:space="preserve">Accounting Taxable Profit </v>
      </c>
      <c r="G192" s="103" t="str">
        <f>Currency</f>
        <v>US$'000</v>
      </c>
      <c r="J192" s="142">
        <f ca="1">SUM(J189:J191)</f>
        <v>101.07820178845137</v>
      </c>
      <c r="K192" s="142">
        <f t="shared" ref="K192:N192" ca="1" si="61">SUM(K189:K191)</f>
        <v>59.130746721205924</v>
      </c>
      <c r="L192" s="142">
        <f t="shared" ca="1" si="61"/>
        <v>65.637335403926343</v>
      </c>
      <c r="M192" s="142">
        <f t="shared" ca="1" si="61"/>
        <v>75.253028977483609</v>
      </c>
      <c r="N192" s="142">
        <f t="shared" ca="1" si="61"/>
        <v>127.73749487696574</v>
      </c>
      <c r="O192" s="102"/>
      <c r="P192" s="19" t="str">
        <f t="shared" ca="1" si="58"/>
        <v>=SUM(J189:J191)</v>
      </c>
    </row>
    <row r="193" spans="3:16" x14ac:dyDescent="0.2">
      <c r="C193" s="100"/>
      <c r="O193" s="102"/>
      <c r="P193" s="19"/>
    </row>
    <row r="194" spans="3:16" x14ac:dyDescent="0.2">
      <c r="C194" s="100"/>
      <c r="E194" s="91" t="str">
        <f>'General Assumptions'!E85</f>
        <v>Tax Rate</v>
      </c>
      <c r="G194" s="103" t="str">
        <f>Percentage</f>
        <v>%</v>
      </c>
      <c r="J194" s="141">
        <f>'General Assumptions'!$I$85</f>
        <v>0.3</v>
      </c>
      <c r="K194" s="141">
        <f>'General Assumptions'!$I$85</f>
        <v>0.3</v>
      </c>
      <c r="L194" s="141">
        <f>'General Assumptions'!$I$85</f>
        <v>0.3</v>
      </c>
      <c r="M194" s="141">
        <f>'General Assumptions'!$I$85</f>
        <v>0.3</v>
      </c>
      <c r="N194" s="141">
        <f>'General Assumptions'!$I$85</f>
        <v>0.3</v>
      </c>
      <c r="O194" s="102"/>
      <c r="P194" s="19" t="str">
        <f t="shared" ca="1" si="58"/>
        <v>='General Assumptions'!$I$85</v>
      </c>
    </row>
    <row r="195" spans="3:16" x14ac:dyDescent="0.2">
      <c r="C195" s="100"/>
      <c r="O195" s="102"/>
      <c r="P195" s="19"/>
    </row>
    <row r="196" spans="3:16" x14ac:dyDescent="0.2">
      <c r="C196" s="100"/>
      <c r="E196" s="80" t="s">
        <v>318</v>
      </c>
      <c r="G196" s="103" t="str">
        <f>Currency</f>
        <v>US$'000</v>
      </c>
      <c r="J196" s="142">
        <f ca="1">J194*J192</f>
        <v>30.323460536535407</v>
      </c>
      <c r="K196" s="142">
        <f t="shared" ref="K196:N196" ca="1" si="62">K194*K192</f>
        <v>17.739224016361778</v>
      </c>
      <c r="L196" s="142">
        <f t="shared" ca="1" si="62"/>
        <v>19.691200621177902</v>
      </c>
      <c r="M196" s="142">
        <f t="shared" ca="1" si="62"/>
        <v>22.575908693245083</v>
      </c>
      <c r="N196" s="142">
        <f t="shared" ca="1" si="62"/>
        <v>38.321248463089724</v>
      </c>
      <c r="O196" s="102"/>
      <c r="P196" s="19" t="str">
        <f t="shared" ca="1" si="58"/>
        <v>=J194*J192</v>
      </c>
    </row>
    <row r="197" spans="3:16" x14ac:dyDescent="0.2">
      <c r="C197" s="100"/>
      <c r="O197" s="102"/>
      <c r="P197" s="19"/>
    </row>
    <row r="198" spans="3:16" ht="15" x14ac:dyDescent="0.25">
      <c r="C198" s="100"/>
      <c r="D198" s="79" t="s">
        <v>197</v>
      </c>
      <c r="O198" s="102"/>
      <c r="P198" s="19"/>
    </row>
    <row r="199" spans="3:16" x14ac:dyDescent="0.2">
      <c r="C199" s="100"/>
      <c r="D199" s="101"/>
      <c r="O199" s="102"/>
      <c r="P199" s="19"/>
    </row>
    <row r="200" spans="3:16" x14ac:dyDescent="0.2">
      <c r="C200" s="100"/>
      <c r="E200" s="80" t="s">
        <v>198</v>
      </c>
      <c r="O200" s="102"/>
      <c r="P200" s="19"/>
    </row>
    <row r="201" spans="3:16" x14ac:dyDescent="0.2">
      <c r="C201" s="100"/>
      <c r="E201" s="91" t="s">
        <v>174</v>
      </c>
      <c r="G201" s="103" t="str">
        <f>Currency</f>
        <v>US$'000</v>
      </c>
      <c r="I201" s="95">
        <f>I96</f>
        <v>450</v>
      </c>
      <c r="J201" s="95"/>
      <c r="K201" s="95"/>
      <c r="L201" s="95"/>
      <c r="M201" s="95"/>
      <c r="N201" s="95"/>
      <c r="O201" s="102"/>
      <c r="P201" s="19"/>
    </row>
    <row r="202" spans="3:16" x14ac:dyDescent="0.2">
      <c r="C202" s="100"/>
      <c r="E202" s="91" t="s">
        <v>198</v>
      </c>
      <c r="G202" s="103" t="str">
        <f>Currency</f>
        <v>US$'000</v>
      </c>
      <c r="I202" s="95"/>
      <c r="J202" s="95">
        <f>J97</f>
        <v>150</v>
      </c>
      <c r="K202" s="95">
        <f>K97</f>
        <v>180</v>
      </c>
      <c r="L202" s="95">
        <f>L97</f>
        <v>120</v>
      </c>
      <c r="M202" s="95">
        <f>M97</f>
        <v>90</v>
      </c>
      <c r="N202" s="95">
        <f>N97</f>
        <v>100</v>
      </c>
      <c r="O202" s="102"/>
      <c r="P202" s="19" t="str">
        <f t="shared" ca="1" si="58"/>
        <v>=J97</v>
      </c>
    </row>
    <row r="203" spans="3:16" x14ac:dyDescent="0.2">
      <c r="C203" s="100"/>
      <c r="I203" s="95"/>
      <c r="J203" s="95"/>
      <c r="K203" s="95"/>
      <c r="L203" s="95"/>
      <c r="M203" s="95"/>
      <c r="N203" s="95"/>
      <c r="O203" s="102"/>
      <c r="P203" s="19"/>
    </row>
    <row r="204" spans="3:16" x14ac:dyDescent="0.2">
      <c r="C204" s="100"/>
      <c r="E204" s="91" t="s">
        <v>199</v>
      </c>
      <c r="G204" s="103" t="str">
        <f>Multiplier</f>
        <v>x</v>
      </c>
      <c r="I204" s="114">
        <f>'General Assumptions'!I94</f>
        <v>2</v>
      </c>
      <c r="O204" s="102"/>
      <c r="P204" s="19" t="str">
        <f ca="1">_xlfn.FORMULATEXT(I204)</f>
        <v>='General Assumptions'!I94</v>
      </c>
    </row>
    <row r="205" spans="3:16" x14ac:dyDescent="0.2">
      <c r="C205" s="100"/>
      <c r="O205" s="102"/>
      <c r="P205" s="19"/>
    </row>
    <row r="206" spans="3:16" x14ac:dyDescent="0.2">
      <c r="C206" s="100"/>
      <c r="E206" s="91" t="s">
        <v>200</v>
      </c>
      <c r="G206" s="103" t="str">
        <f>No_of_Years</f>
        <v># Year(s)</v>
      </c>
      <c r="I206" s="104">
        <f>'General Assumptions'!I96</f>
        <v>5</v>
      </c>
      <c r="O206" s="102"/>
      <c r="P206" s="19" t="str">
        <f t="shared" ref="P206:P210" ca="1" si="63">_xlfn.FORMULATEXT(I206)</f>
        <v>='General Assumptions'!I96</v>
      </c>
    </row>
    <row r="207" spans="3:16" x14ac:dyDescent="0.2">
      <c r="C207" s="100"/>
      <c r="E207" s="91" t="s">
        <v>175</v>
      </c>
      <c r="G207" s="103" t="str">
        <f>Percentage</f>
        <v>%</v>
      </c>
      <c r="I207" s="105">
        <f>'General Assumptions'!I97</f>
        <v>0.4</v>
      </c>
      <c r="O207" s="102"/>
      <c r="P207" s="19" t="str">
        <f t="shared" ca="1" si="63"/>
        <v>='General Assumptions'!I97</v>
      </c>
    </row>
    <row r="208" spans="3:16" x14ac:dyDescent="0.2">
      <c r="C208" s="100"/>
      <c r="O208" s="102"/>
      <c r="P208" s="19"/>
    </row>
    <row r="209" spans="3:16" x14ac:dyDescent="0.2">
      <c r="C209" s="100"/>
      <c r="E209" s="91" t="s">
        <v>201</v>
      </c>
      <c r="G209" s="103" t="str">
        <f>No_of_Years</f>
        <v># Year(s)</v>
      </c>
      <c r="I209" s="104">
        <f>'General Assumptions'!I99</f>
        <v>4</v>
      </c>
      <c r="O209" s="102"/>
      <c r="P209" s="19" t="str">
        <f t="shared" ca="1" si="63"/>
        <v>='General Assumptions'!I99</v>
      </c>
    </row>
    <row r="210" spans="3:16" x14ac:dyDescent="0.2">
      <c r="C210" s="100"/>
      <c r="E210" s="91" t="s">
        <v>175</v>
      </c>
      <c r="G210" s="103" t="str">
        <f>Percentage</f>
        <v>%</v>
      </c>
      <c r="I210" s="105">
        <f>'General Assumptions'!I100</f>
        <v>0.5</v>
      </c>
      <c r="O210" s="102"/>
      <c r="P210" s="19" t="str">
        <f t="shared" ca="1" si="63"/>
        <v>='General Assumptions'!I100</v>
      </c>
    </row>
    <row r="211" spans="3:16" x14ac:dyDescent="0.2">
      <c r="C211" s="100"/>
      <c r="O211" s="102"/>
      <c r="P211" s="19"/>
    </row>
    <row r="212" spans="3:16" x14ac:dyDescent="0.2">
      <c r="C212" s="100"/>
      <c r="E212" s="91" t="s">
        <v>202</v>
      </c>
      <c r="G212" s="103" t="str">
        <f t="shared" ref="G212:G218" si="64">Currency</f>
        <v>US$'000</v>
      </c>
      <c r="H212" s="57">
        <f>I201</f>
        <v>450</v>
      </c>
      <c r="I212" s="115"/>
      <c r="J212" s="95">
        <f>($H212-SUM($I212:I212))*IF(J$9=$I206,1,$I207)</f>
        <v>180</v>
      </c>
      <c r="K212" s="95">
        <f>($H212-SUM($I212:J212))*IF(K$9=$I206,1,$I207)</f>
        <v>108</v>
      </c>
      <c r="L212" s="95">
        <f>($H212-SUM($I212:K212))*IF(L$9=$I206,1,$I207)</f>
        <v>64.8</v>
      </c>
      <c r="M212" s="95">
        <f>($H212-SUM($I212:L212))*IF(M$9=$I206,1,$I207)</f>
        <v>38.879999999999995</v>
      </c>
      <c r="N212" s="95">
        <f>($H212-SUM($I212:M212))*IF(N$9=$I206,1,$I207)</f>
        <v>58.319999999999993</v>
      </c>
      <c r="O212" s="102"/>
      <c r="P212" s="19" t="str">
        <f t="shared" ca="1" si="58"/>
        <v>=($H212-SUM($I212:I212))*IF(J$9=$I206,1,$I207)</v>
      </c>
    </row>
    <row r="213" spans="3:16" x14ac:dyDescent="0.2">
      <c r="C213" s="100"/>
      <c r="E213" s="116">
        <f>N(E212)+1</f>
        <v>1</v>
      </c>
      <c r="G213" s="103" t="str">
        <f t="shared" si="64"/>
        <v>US$'000</v>
      </c>
      <c r="H213" s="57">
        <f ca="1">OFFSET($I$202,0,$E213)</f>
        <v>150</v>
      </c>
      <c r="I213" s="115"/>
      <c r="J213" s="95">
        <f ca="1">IF(J$9&gt;=$E213,($H213-SUM($I213:I213))*IF(J$9=$I$209+$E213-1,1,$I$210),0)</f>
        <v>75</v>
      </c>
      <c r="K213" s="95">
        <f ca="1">IF(K$9&gt;=$E213,($H213-SUM($I213:J213))*IF(K$9=$I$209+$E213-1,1,$I$210),0)</f>
        <v>37.5</v>
      </c>
      <c r="L213" s="95">
        <f ca="1">IF(L$9&gt;=$E213,($H213-SUM($I213:K213))*IF(L$9=$I$209+$E213-1,1,$I$210),0)</f>
        <v>18.75</v>
      </c>
      <c r="M213" s="95">
        <f ca="1">IF(M$9&gt;=$E213,($H213-SUM($I213:L213))*IF(M$9=$I$209+$E213-1,1,$I$210),0)</f>
        <v>18.75</v>
      </c>
      <c r="N213" s="95">
        <f ca="1">IF(N$9&gt;=$E213,($H213-SUM($I213:M213))*IF(N$9=$I$209+$E213-1,1,$I$210),0)</f>
        <v>0</v>
      </c>
      <c r="O213" s="102"/>
      <c r="P213" s="19" t="str">
        <f t="shared" ca="1" si="58"/>
        <v>=IF(J$9&gt;=$E213,($H213-SUM($I213:I213))*IF(J$9=$I$209+$E213-1,1,$I$210),0)</v>
      </c>
    </row>
    <row r="214" spans="3:16" x14ac:dyDescent="0.2">
      <c r="C214" s="100"/>
      <c r="E214" s="116">
        <f t="shared" ref="E214:E217" si="65">N(E213)+1</f>
        <v>2</v>
      </c>
      <c r="G214" s="103" t="str">
        <f t="shared" si="64"/>
        <v>US$'000</v>
      </c>
      <c r="H214" s="57">
        <f ca="1">OFFSET($I$202,0,$E214)</f>
        <v>180</v>
      </c>
      <c r="I214" s="115"/>
      <c r="J214" s="95">
        <f>IF(J$9&gt;=$E214,($H214-SUM($I214:I214))*IF(J$9=$I$209+$E214-1,1,$I$210),0)</f>
        <v>0</v>
      </c>
      <c r="K214" s="95">
        <f ca="1">IF(K$9&gt;=$E214,($H214-SUM($I214:J214))*IF(K$9=$I$209+$E214-1,1,$I$210),0)</f>
        <v>90</v>
      </c>
      <c r="L214" s="95">
        <f ca="1">IF(L$9&gt;=$E214,($H214-SUM($I214:K214))*IF(L$9=$I$209+$E214-1,1,$I$210),0)</f>
        <v>45</v>
      </c>
      <c r="M214" s="95">
        <f ca="1">IF(M$9&gt;=$E214,($H214-SUM($I214:L214))*IF(M$9=$I$209+$E214-1,1,$I$210),0)</f>
        <v>22.5</v>
      </c>
      <c r="N214" s="95">
        <f ca="1">IF(N$9&gt;=$E214,($H214-SUM($I214:M214))*IF(N$9=$I$209+$E214-1,1,$I$210),0)</f>
        <v>22.5</v>
      </c>
      <c r="O214" s="102"/>
      <c r="P214" s="19" t="str">
        <f t="shared" ca="1" si="58"/>
        <v>=IF(J$9&gt;=$E214,($H214-SUM($I214:I214))*IF(J$9=$I$209+$E214-1,1,$I$210),0)</v>
      </c>
    </row>
    <row r="215" spans="3:16" x14ac:dyDescent="0.2">
      <c r="C215" s="100"/>
      <c r="E215" s="116">
        <f t="shared" si="65"/>
        <v>3</v>
      </c>
      <c r="G215" s="103" t="str">
        <f t="shared" si="64"/>
        <v>US$'000</v>
      </c>
      <c r="H215" s="57">
        <f ca="1">OFFSET($I$202,0,$E215)</f>
        <v>120</v>
      </c>
      <c r="I215" s="115"/>
      <c r="J215" s="95">
        <f>IF(J$9&gt;=$E215,($H215-SUM($I215:I215))*IF(J$9=$I$209+$E215-1,1,$I$210),0)</f>
        <v>0</v>
      </c>
      <c r="K215" s="95">
        <f>IF(K$9&gt;=$E215,($H215-SUM($I215:J215))*IF(K$9=$I$209+$E215-1,1,$I$210),0)</f>
        <v>0</v>
      </c>
      <c r="L215" s="95">
        <f ca="1">IF(L$9&gt;=$E215,($H215-SUM($I215:K215))*IF(L$9=$I$209+$E215-1,1,$I$210),0)</f>
        <v>60</v>
      </c>
      <c r="M215" s="95">
        <f ca="1">IF(M$9&gt;=$E215,($H215-SUM($I215:L215))*IF(M$9=$I$209+$E215-1,1,$I$210),0)</f>
        <v>30</v>
      </c>
      <c r="N215" s="95">
        <f ca="1">IF(N$9&gt;=$E215,($H215-SUM($I215:M215))*IF(N$9=$I$209+$E215-1,1,$I$210),0)</f>
        <v>15</v>
      </c>
      <c r="O215" s="102"/>
      <c r="P215" s="19" t="str">
        <f t="shared" ca="1" si="58"/>
        <v>=IF(J$9&gt;=$E215,($H215-SUM($I215:I215))*IF(J$9=$I$209+$E215-1,1,$I$210),0)</v>
      </c>
    </row>
    <row r="216" spans="3:16" x14ac:dyDescent="0.2">
      <c r="C216" s="100"/>
      <c r="E216" s="116">
        <f t="shared" si="65"/>
        <v>4</v>
      </c>
      <c r="G216" s="103" t="str">
        <f t="shared" si="64"/>
        <v>US$'000</v>
      </c>
      <c r="H216" s="57">
        <f ca="1">OFFSET($I$202,0,$E216)</f>
        <v>90</v>
      </c>
      <c r="I216" s="115"/>
      <c r="J216" s="95">
        <f>IF(J$9&gt;=$E216,($H216-SUM($I216:I216))*IF(J$9=$I$209+$E216-1,1,$I$210),0)</f>
        <v>0</v>
      </c>
      <c r="K216" s="95">
        <f>IF(K$9&gt;=$E216,($H216-SUM($I216:J216))*IF(K$9=$I$209+$E216-1,1,$I$210),0)</f>
        <v>0</v>
      </c>
      <c r="L216" s="95">
        <f>IF(L$9&gt;=$E216,($H216-SUM($I216:K216))*IF(L$9=$I$209+$E216-1,1,$I$210),0)</f>
        <v>0</v>
      </c>
      <c r="M216" s="95">
        <f ca="1">IF(M$9&gt;=$E216,($H216-SUM($I216:L216))*IF(M$9=$I$209+$E216-1,1,$I$210),0)</f>
        <v>45</v>
      </c>
      <c r="N216" s="95">
        <f ca="1">IF(N$9&gt;=$E216,($H216-SUM($I216:M216))*IF(N$9=$I$209+$E216-1,1,$I$210),0)</f>
        <v>22.5</v>
      </c>
      <c r="O216" s="102"/>
      <c r="P216" s="19" t="str">
        <f t="shared" ca="1" si="58"/>
        <v>=IF(J$9&gt;=$E216,($H216-SUM($I216:I216))*IF(J$9=$I$209+$E216-1,1,$I$210),0)</v>
      </c>
    </row>
    <row r="217" spans="3:16" x14ac:dyDescent="0.2">
      <c r="C217" s="100"/>
      <c r="E217" s="116">
        <f t="shared" si="65"/>
        <v>5</v>
      </c>
      <c r="G217" s="103" t="str">
        <f t="shared" si="64"/>
        <v>US$'000</v>
      </c>
      <c r="H217" s="57">
        <f ca="1">OFFSET($I$202,0,$E217)</f>
        <v>100</v>
      </c>
      <c r="I217" s="115"/>
      <c r="J217" s="95">
        <f>IF(J$9&gt;=$E217,($H217-SUM($I217:I217))*IF(J$9=$I$209+$E217-1,1,$I$210),0)</f>
        <v>0</v>
      </c>
      <c r="K217" s="95">
        <f>IF(K$9&gt;=$E217,($H217-SUM($I217:J217))*IF(K$9=$I$209+$E217-1,1,$I$210),0)</f>
        <v>0</v>
      </c>
      <c r="L217" s="95">
        <f>IF(L$9&gt;=$E217,($H217-SUM($I217:K217))*IF(L$9=$I$209+$E217-1,1,$I$210),0)</f>
        <v>0</v>
      </c>
      <c r="M217" s="95">
        <f>IF(M$9&gt;=$E217,($H217-SUM($I217:L217))*IF(M$9=$I$209+$E217-1,1,$I$210),0)</f>
        <v>0</v>
      </c>
      <c r="N217" s="95">
        <f ca="1">IF(N$9&gt;=$E217,($H217-SUM($I217:M217))*IF(N$9=$I$209+$E217-1,1,$I$210),0)</f>
        <v>50</v>
      </c>
      <c r="O217" s="102"/>
      <c r="P217" s="19" t="str">
        <f t="shared" ca="1" si="58"/>
        <v>=IF(J$9&gt;=$E217,($H217-SUM($I217:I217))*IF(J$9=$I$209+$E217-1,1,$I$210),0)</v>
      </c>
    </row>
    <row r="218" spans="3:16" x14ac:dyDescent="0.2">
      <c r="C218" s="100"/>
      <c r="E218" s="91" t="s">
        <v>203</v>
      </c>
      <c r="G218" s="103" t="str">
        <f t="shared" si="64"/>
        <v>US$'000</v>
      </c>
      <c r="H218" s="117">
        <f ca="1">SUM(H212:H217)</f>
        <v>1090</v>
      </c>
      <c r="I218" s="117">
        <f ca="1">SUM(J218:N218)</f>
        <v>1002.5</v>
      </c>
      <c r="J218" s="108">
        <f ca="1">SUM(J212:J217)</f>
        <v>255</v>
      </c>
      <c r="K218" s="108">
        <f t="shared" ref="K218:N218" ca="1" si="66">SUM(K212:K217)</f>
        <v>235.5</v>
      </c>
      <c r="L218" s="108">
        <f t="shared" ca="1" si="66"/>
        <v>188.55</v>
      </c>
      <c r="M218" s="108">
        <f t="shared" ca="1" si="66"/>
        <v>155.13</v>
      </c>
      <c r="N218" s="108">
        <f t="shared" ca="1" si="66"/>
        <v>168.32</v>
      </c>
      <c r="O218" s="102"/>
      <c r="P218" s="19" t="str">
        <f t="shared" ca="1" si="58"/>
        <v>=SUM(J212:J217)</v>
      </c>
    </row>
    <row r="219" spans="3:16" x14ac:dyDescent="0.2">
      <c r="C219" s="100"/>
      <c r="H219" s="95"/>
      <c r="I219" s="95"/>
      <c r="J219" s="95"/>
      <c r="K219" s="95"/>
      <c r="L219" s="95"/>
      <c r="M219" s="95"/>
      <c r="N219" s="95"/>
      <c r="O219" s="102"/>
      <c r="P219" s="19"/>
    </row>
    <row r="220" spans="3:16" ht="15" x14ac:dyDescent="0.25">
      <c r="C220" s="100"/>
      <c r="D220" s="79" t="s">
        <v>204</v>
      </c>
      <c r="H220" s="95"/>
      <c r="I220" s="95"/>
      <c r="J220" s="95"/>
      <c r="K220" s="95"/>
      <c r="L220" s="95"/>
      <c r="M220" s="95"/>
      <c r="N220" s="95"/>
      <c r="O220" s="102"/>
      <c r="P220" s="19"/>
    </row>
    <row r="221" spans="3:16" x14ac:dyDescent="0.2">
      <c r="C221" s="100"/>
      <c r="D221" s="101"/>
      <c r="H221" s="95"/>
      <c r="I221" s="95"/>
      <c r="J221" s="95"/>
      <c r="K221" s="95"/>
      <c r="L221" s="95"/>
      <c r="M221" s="95"/>
      <c r="N221" s="95"/>
      <c r="O221" s="102"/>
      <c r="P221" s="19"/>
    </row>
    <row r="222" spans="3:16" x14ac:dyDescent="0.2">
      <c r="C222" s="100"/>
      <c r="E222" s="91" t="str">
        <f>D220</f>
        <v xml:space="preserve">Accounting Depreciation </v>
      </c>
      <c r="G222" s="103" t="str">
        <f>Currency</f>
        <v>US$'000</v>
      </c>
      <c r="H222" s="95"/>
      <c r="I222" s="117">
        <f ca="1">SUM(J222:N222)</f>
        <v>940</v>
      </c>
      <c r="J222" s="143">
        <f ca="1">J114</f>
        <v>127.5</v>
      </c>
      <c r="K222" s="143">
        <f ca="1">K114</f>
        <v>172.5</v>
      </c>
      <c r="L222" s="143">
        <f ca="1">L114</f>
        <v>202.5</v>
      </c>
      <c r="M222" s="143">
        <f ca="1">M114</f>
        <v>225</v>
      </c>
      <c r="N222" s="143">
        <f ca="1">N114</f>
        <v>212.5</v>
      </c>
      <c r="O222" s="102"/>
      <c r="P222" s="19" t="str">
        <f t="shared" ca="1" si="58"/>
        <v>=J114</v>
      </c>
    </row>
    <row r="223" spans="3:16" x14ac:dyDescent="0.2">
      <c r="C223" s="100"/>
      <c r="H223" s="95"/>
      <c r="I223" s="95"/>
      <c r="J223" s="95"/>
      <c r="K223" s="95"/>
      <c r="L223" s="95"/>
      <c r="M223" s="95"/>
      <c r="N223" s="95"/>
      <c r="O223" s="102"/>
      <c r="P223" s="19"/>
    </row>
    <row r="224" spans="3:16" ht="15" x14ac:dyDescent="0.25">
      <c r="C224" s="100"/>
      <c r="D224" s="79" t="s">
        <v>205</v>
      </c>
      <c r="H224" s="95"/>
      <c r="I224" s="95"/>
      <c r="J224" s="95"/>
      <c r="K224" s="95"/>
      <c r="L224" s="95"/>
      <c r="M224" s="95"/>
      <c r="N224" s="95"/>
      <c r="O224" s="102"/>
      <c r="P224" s="19"/>
    </row>
    <row r="225" spans="3:16" x14ac:dyDescent="0.2">
      <c r="C225" s="100"/>
      <c r="D225" s="101"/>
      <c r="H225" s="95"/>
      <c r="I225" s="95"/>
      <c r="J225" s="95"/>
      <c r="K225" s="95"/>
      <c r="L225" s="95"/>
      <c r="M225" s="95"/>
      <c r="N225" s="95"/>
      <c r="O225" s="102"/>
      <c r="P225" s="19"/>
    </row>
    <row r="226" spans="3:16" x14ac:dyDescent="0.2">
      <c r="C226" s="100"/>
      <c r="D226" s="92"/>
      <c r="E226" s="91" t="str">
        <f>E222</f>
        <v xml:space="preserve">Accounting Depreciation </v>
      </c>
      <c r="G226" s="103" t="str">
        <f>Currency</f>
        <v>US$'000</v>
      </c>
      <c r="H226" s="95"/>
      <c r="I226" s="95"/>
      <c r="J226" s="135">
        <f ca="1">J222</f>
        <v>127.5</v>
      </c>
      <c r="K226" s="135">
        <f t="shared" ref="K226:N226" ca="1" si="67">K222</f>
        <v>172.5</v>
      </c>
      <c r="L226" s="135">
        <f ca="1">L222</f>
        <v>202.5</v>
      </c>
      <c r="M226" s="135">
        <f t="shared" ca="1" si="67"/>
        <v>225</v>
      </c>
      <c r="N226" s="135">
        <f t="shared" ca="1" si="67"/>
        <v>212.5</v>
      </c>
      <c r="O226" s="102"/>
      <c r="P226" s="19" t="str">
        <f t="shared" ca="1" si="58"/>
        <v>=J222</v>
      </c>
    </row>
    <row r="227" spans="3:16" x14ac:dyDescent="0.2">
      <c r="C227" s="100"/>
      <c r="D227" s="92"/>
      <c r="E227" s="91" t="s">
        <v>206</v>
      </c>
      <c r="G227" s="103" t="str">
        <f>Currency</f>
        <v>US$'000</v>
      </c>
      <c r="H227" s="95"/>
      <c r="I227" s="118"/>
      <c r="J227" s="135">
        <f ca="1">-J218</f>
        <v>-255</v>
      </c>
      <c r="K227" s="135">
        <f t="shared" ref="K227:N227" ca="1" si="68">-K218</f>
        <v>-235.5</v>
      </c>
      <c r="L227" s="135">
        <f t="shared" ca="1" si="68"/>
        <v>-188.55</v>
      </c>
      <c r="M227" s="135">
        <f t="shared" ca="1" si="68"/>
        <v>-155.13</v>
      </c>
      <c r="N227" s="135">
        <f t="shared" ca="1" si="68"/>
        <v>-168.32</v>
      </c>
      <c r="O227" s="102"/>
      <c r="P227" s="19" t="str">
        <f t="shared" ca="1" si="58"/>
        <v>=-J218</v>
      </c>
    </row>
    <row r="228" spans="3:16" x14ac:dyDescent="0.2">
      <c r="C228" s="100"/>
      <c r="D228" s="92"/>
      <c r="E228" s="91" t="s">
        <v>205</v>
      </c>
      <c r="G228" s="103" t="str">
        <f>Currency</f>
        <v>US$'000</v>
      </c>
      <c r="H228" s="95"/>
      <c r="I228" s="118"/>
      <c r="J228" s="138">
        <f ca="1">SUM(J226:J227)</f>
        <v>-127.5</v>
      </c>
      <c r="K228" s="138">
        <f t="shared" ref="K228:N228" ca="1" si="69">SUM(K226:K227)</f>
        <v>-63</v>
      </c>
      <c r="L228" s="138">
        <f t="shared" ca="1" si="69"/>
        <v>13.949999999999989</v>
      </c>
      <c r="M228" s="138">
        <f t="shared" ca="1" si="69"/>
        <v>69.87</v>
      </c>
      <c r="N228" s="138">
        <f t="shared" ca="1" si="69"/>
        <v>44.180000000000007</v>
      </c>
      <c r="O228" s="102"/>
      <c r="P228" s="19" t="str">
        <f t="shared" ca="1" si="58"/>
        <v>=SUM(J226:J227)</v>
      </c>
    </row>
    <row r="229" spans="3:16" x14ac:dyDescent="0.2">
      <c r="C229" s="100"/>
      <c r="O229" s="102"/>
      <c r="P229" s="19"/>
    </row>
    <row r="230" spans="3:16" x14ac:dyDescent="0.2">
      <c r="C230" s="100"/>
      <c r="D230" s="92"/>
      <c r="E230" s="91" t="s">
        <v>154</v>
      </c>
      <c r="G230" s="103" t="s">
        <v>106</v>
      </c>
      <c r="J230" s="105">
        <f>'General Assumptions'!$I$85</f>
        <v>0.3</v>
      </c>
      <c r="K230" s="105">
        <f>'General Assumptions'!$I$85</f>
        <v>0.3</v>
      </c>
      <c r="L230" s="105">
        <f>'General Assumptions'!$I$85</f>
        <v>0.3</v>
      </c>
      <c r="M230" s="105">
        <f>'General Assumptions'!$I$85</f>
        <v>0.3</v>
      </c>
      <c r="N230" s="105">
        <f>'General Assumptions'!$I$85</f>
        <v>0.3</v>
      </c>
      <c r="O230" s="102"/>
      <c r="P230" s="19" t="str">
        <f t="shared" ca="1" si="58"/>
        <v>='General Assumptions'!$I$85</v>
      </c>
    </row>
    <row r="231" spans="3:16" x14ac:dyDescent="0.2">
      <c r="C231" s="100"/>
      <c r="D231" s="92"/>
      <c r="O231" s="102"/>
      <c r="P231" s="19"/>
    </row>
    <row r="232" spans="3:16" x14ac:dyDescent="0.2">
      <c r="C232" s="100"/>
      <c r="D232" s="92"/>
      <c r="E232" s="91" t="s">
        <v>133</v>
      </c>
      <c r="G232" s="103" t="str">
        <f>Currency</f>
        <v>US$'000</v>
      </c>
      <c r="J232" s="138">
        <f ca="1">-J230*J228</f>
        <v>38.25</v>
      </c>
      <c r="K232" s="138">
        <f t="shared" ref="K232:N232" ca="1" si="70">-K230*K228</f>
        <v>18.899999999999999</v>
      </c>
      <c r="L232" s="138">
        <f t="shared" ca="1" si="70"/>
        <v>-4.1849999999999961</v>
      </c>
      <c r="M232" s="138">
        <f t="shared" ca="1" si="70"/>
        <v>-20.961000000000002</v>
      </c>
      <c r="N232" s="138">
        <f t="shared" ca="1" si="70"/>
        <v>-13.254000000000001</v>
      </c>
      <c r="O232" s="102"/>
      <c r="P232" s="19" t="str">
        <f t="shared" ca="1" si="58"/>
        <v>=-J230*J228</v>
      </c>
    </row>
    <row r="233" spans="3:16" x14ac:dyDescent="0.2">
      <c r="C233" s="100"/>
      <c r="D233" s="92"/>
      <c r="J233" s="135"/>
      <c r="K233" s="135"/>
      <c r="L233" s="135"/>
      <c r="M233" s="135"/>
      <c r="N233" s="135"/>
      <c r="O233" s="102"/>
      <c r="P233" s="19"/>
    </row>
    <row r="234" spans="3:16" x14ac:dyDescent="0.2">
      <c r="C234" s="100"/>
      <c r="D234" s="92"/>
      <c r="E234" s="91" t="s">
        <v>134</v>
      </c>
      <c r="G234" s="103" t="str">
        <f>Currency</f>
        <v>US$'000</v>
      </c>
      <c r="J234" s="135">
        <f>I236</f>
        <v>25</v>
      </c>
      <c r="K234" s="135">
        <f t="shared" ref="K234:N234" ca="1" si="71">J236</f>
        <v>63.25</v>
      </c>
      <c r="L234" s="135">
        <f t="shared" ca="1" si="71"/>
        <v>82.15</v>
      </c>
      <c r="M234" s="135">
        <f t="shared" ca="1" si="71"/>
        <v>77.965000000000003</v>
      </c>
      <c r="N234" s="135">
        <f t="shared" ca="1" si="71"/>
        <v>57.004000000000005</v>
      </c>
      <c r="O234" s="102"/>
      <c r="P234" s="19" t="str">
        <f t="shared" ca="1" si="58"/>
        <v>=I236</v>
      </c>
    </row>
    <row r="235" spans="3:16" x14ac:dyDescent="0.2">
      <c r="C235" s="100"/>
      <c r="D235" s="92"/>
      <c r="E235" s="91" t="s">
        <v>133</v>
      </c>
      <c r="G235" s="103" t="str">
        <f>Currency</f>
        <v>US$'000</v>
      </c>
      <c r="J235" s="135">
        <f ca="1">J232</f>
        <v>38.25</v>
      </c>
      <c r="K235" s="135">
        <f t="shared" ref="K235:N235" ca="1" si="72">K232</f>
        <v>18.899999999999999</v>
      </c>
      <c r="L235" s="135">
        <f t="shared" ca="1" si="72"/>
        <v>-4.1849999999999961</v>
      </c>
      <c r="M235" s="135">
        <f t="shared" ca="1" si="72"/>
        <v>-20.961000000000002</v>
      </c>
      <c r="N235" s="135">
        <f t="shared" ca="1" si="72"/>
        <v>-13.254000000000001</v>
      </c>
      <c r="O235" s="102"/>
      <c r="P235" s="19" t="str">
        <f t="shared" ca="1" si="58"/>
        <v>=J232</v>
      </c>
    </row>
    <row r="236" spans="3:16" x14ac:dyDescent="0.2">
      <c r="C236" s="100"/>
      <c r="D236" s="92"/>
      <c r="E236" s="91" t="s">
        <v>135</v>
      </c>
      <c r="G236" s="103" t="str">
        <f>Currency</f>
        <v>US$'000</v>
      </c>
      <c r="I236" s="104">
        <f>'Opening Balance Sheet'!I36</f>
        <v>25</v>
      </c>
      <c r="J236" s="138">
        <f ca="1">SUM(J234:J235)</f>
        <v>63.25</v>
      </c>
      <c r="K236" s="138">
        <f t="shared" ref="K236:N236" ca="1" si="73">SUM(K234:K235)</f>
        <v>82.15</v>
      </c>
      <c r="L236" s="138">
        <f t="shared" ca="1" si="73"/>
        <v>77.965000000000003</v>
      </c>
      <c r="M236" s="138">
        <f t="shared" ca="1" si="73"/>
        <v>57.004000000000005</v>
      </c>
      <c r="N236" s="138">
        <f t="shared" ca="1" si="73"/>
        <v>43.75</v>
      </c>
      <c r="O236" s="109" t="str">
        <f>Balance_Sheet</f>
        <v>BS</v>
      </c>
      <c r="P236" s="19" t="str">
        <f t="shared" ca="1" si="58"/>
        <v>=SUM(J234:J235)</v>
      </c>
    </row>
    <row r="237" spans="3:16" x14ac:dyDescent="0.2">
      <c r="C237" s="100"/>
      <c r="J237" s="95"/>
      <c r="K237" s="95"/>
      <c r="L237" s="95"/>
      <c r="M237" s="95"/>
      <c r="N237" s="95"/>
      <c r="O237" s="102"/>
      <c r="P237" s="19"/>
    </row>
    <row r="238" spans="3:16" ht="15" x14ac:dyDescent="0.25">
      <c r="C238" s="100"/>
      <c r="D238" s="79" t="s">
        <v>207</v>
      </c>
      <c r="G238" s="103" t="str">
        <f>Currency</f>
        <v>US$'000</v>
      </c>
      <c r="J238" s="95"/>
      <c r="K238" s="95"/>
      <c r="L238" s="95"/>
      <c r="M238" s="95"/>
      <c r="N238" s="95"/>
      <c r="O238" s="102"/>
      <c r="P238" s="19"/>
    </row>
    <row r="239" spans="3:16" x14ac:dyDescent="0.2">
      <c r="C239" s="100"/>
      <c r="D239" s="101"/>
      <c r="G239" s="103"/>
      <c r="J239" s="95"/>
      <c r="K239" s="95"/>
      <c r="L239" s="95"/>
      <c r="M239" s="95"/>
      <c r="N239" s="95"/>
      <c r="O239" s="102"/>
      <c r="P239" s="19"/>
    </row>
    <row r="240" spans="3:16" x14ac:dyDescent="0.2">
      <c r="C240" s="100"/>
      <c r="D240" s="92"/>
      <c r="E240" s="91" t="str">
        <f>E192</f>
        <v xml:space="preserve">Accounting Taxable Profit </v>
      </c>
      <c r="G240" s="103" t="str">
        <f>Currency</f>
        <v>US$'000</v>
      </c>
      <c r="J240" s="135">
        <f ca="1">J192</f>
        <v>101.07820178845137</v>
      </c>
      <c r="K240" s="135">
        <f t="shared" ref="K240:N240" ca="1" si="74">K192</f>
        <v>59.130746721205924</v>
      </c>
      <c r="L240" s="135">
        <f ca="1">L192</f>
        <v>65.637335403926343</v>
      </c>
      <c r="M240" s="135">
        <f t="shared" ca="1" si="74"/>
        <v>75.253028977483609</v>
      </c>
      <c r="N240" s="135">
        <f t="shared" ca="1" si="74"/>
        <v>127.73749487696574</v>
      </c>
      <c r="O240" s="102"/>
      <c r="P240" s="19" t="str">
        <f t="shared" ca="1" si="58"/>
        <v>=J192</v>
      </c>
    </row>
    <row r="241" spans="3:16" x14ac:dyDescent="0.2">
      <c r="C241" s="100"/>
      <c r="D241" s="92"/>
      <c r="E241" s="91" t="str">
        <f>E228</f>
        <v>Depreciation Timing Difference</v>
      </c>
      <c r="G241" s="103" t="str">
        <f>Currency</f>
        <v>US$'000</v>
      </c>
      <c r="J241" s="135">
        <f ca="1">J228</f>
        <v>-127.5</v>
      </c>
      <c r="K241" s="135">
        <f t="shared" ref="K241:N241" ca="1" si="75">K228</f>
        <v>-63</v>
      </c>
      <c r="L241" s="135">
        <f t="shared" ca="1" si="75"/>
        <v>13.949999999999989</v>
      </c>
      <c r="M241" s="135">
        <f t="shared" ca="1" si="75"/>
        <v>69.87</v>
      </c>
      <c r="N241" s="135">
        <f t="shared" ca="1" si="75"/>
        <v>44.180000000000007</v>
      </c>
      <c r="O241" s="102"/>
      <c r="P241" s="19" t="str">
        <f t="shared" ca="1" si="58"/>
        <v>=J228</v>
      </c>
    </row>
    <row r="242" spans="3:16" x14ac:dyDescent="0.2">
      <c r="C242" s="100"/>
      <c r="D242" s="92"/>
      <c r="E242" s="91" t="s">
        <v>208</v>
      </c>
      <c r="G242" s="103" t="str">
        <f>Currency</f>
        <v>US$'000</v>
      </c>
      <c r="J242" s="138">
        <f ca="1">SUM(J240:J241)</f>
        <v>-26.421798211548634</v>
      </c>
      <c r="K242" s="138">
        <f t="shared" ref="K242:N242" ca="1" si="76">SUM(K240:K241)</f>
        <v>-3.8692532787940763</v>
      </c>
      <c r="L242" s="138">
        <f t="shared" ca="1" si="76"/>
        <v>79.587335403926332</v>
      </c>
      <c r="M242" s="138">
        <f t="shared" ca="1" si="76"/>
        <v>145.12302897748361</v>
      </c>
      <c r="N242" s="138">
        <f t="shared" ca="1" si="76"/>
        <v>171.91749487696575</v>
      </c>
      <c r="O242" s="102"/>
      <c r="P242" s="19" t="str">
        <f t="shared" ca="1" si="58"/>
        <v>=SUM(J240:J241)</v>
      </c>
    </row>
    <row r="243" spans="3:16" x14ac:dyDescent="0.2">
      <c r="C243" s="100"/>
      <c r="D243" s="92"/>
      <c r="E243" s="91" t="s">
        <v>209</v>
      </c>
      <c r="G243" s="103" t="str">
        <f>Currency</f>
        <v>US$'000</v>
      </c>
      <c r="J243" s="146">
        <f ca="1">J263</f>
        <v>0</v>
      </c>
      <c r="K243" s="146">
        <f t="shared" ref="K243:N243" ca="1" si="77">K263</f>
        <v>0</v>
      </c>
      <c r="L243" s="146">
        <f t="shared" ca="1" si="77"/>
        <v>-79.587335403926332</v>
      </c>
      <c r="M243" s="146">
        <f t="shared" ca="1" si="77"/>
        <v>-145.12302897748361</v>
      </c>
      <c r="N243" s="146">
        <f t="shared" ca="1" si="77"/>
        <v>-55.580687108932807</v>
      </c>
      <c r="O243" s="102"/>
      <c r="P243" s="19" t="str">
        <f t="shared" ca="1" si="58"/>
        <v>=J263</v>
      </c>
    </row>
    <row r="244" spans="3:16" x14ac:dyDescent="0.2">
      <c r="C244" s="100"/>
      <c r="D244" s="92"/>
      <c r="E244" s="91" t="s">
        <v>210</v>
      </c>
      <c r="G244" s="103" t="str">
        <f>Currency</f>
        <v>US$'000</v>
      </c>
      <c r="J244" s="138">
        <f ca="1">SUM(J242:J243)</f>
        <v>-26.421798211548634</v>
      </c>
      <c r="K244" s="138">
        <f t="shared" ref="K244:N244" ca="1" si="78">SUM(K242:K243)</f>
        <v>-3.8692532787940763</v>
      </c>
      <c r="L244" s="138">
        <f t="shared" ca="1" si="78"/>
        <v>0</v>
      </c>
      <c r="M244" s="138">
        <f t="shared" ca="1" si="78"/>
        <v>0</v>
      </c>
      <c r="N244" s="138">
        <f t="shared" ca="1" si="78"/>
        <v>116.33680776803294</v>
      </c>
      <c r="O244" s="102"/>
      <c r="P244" s="19" t="str">
        <f t="shared" ca="1" si="58"/>
        <v>=SUM(J242:J243)</v>
      </c>
    </row>
    <row r="245" spans="3:16" x14ac:dyDescent="0.2">
      <c r="C245" s="100"/>
      <c r="D245" s="92"/>
      <c r="E245" s="91" t="str">
        <f>E230</f>
        <v>Tax Rate</v>
      </c>
      <c r="G245" s="103" t="str">
        <f>Percentage</f>
        <v>%</v>
      </c>
      <c r="J245" s="119">
        <f>J230</f>
        <v>0.3</v>
      </c>
      <c r="K245" s="119">
        <f t="shared" ref="K245:N245" si="79">K230</f>
        <v>0.3</v>
      </c>
      <c r="L245" s="119">
        <f t="shared" si="79"/>
        <v>0.3</v>
      </c>
      <c r="M245" s="119">
        <f t="shared" si="79"/>
        <v>0.3</v>
      </c>
      <c r="N245" s="119">
        <f t="shared" si="79"/>
        <v>0.3</v>
      </c>
      <c r="O245" s="102"/>
      <c r="P245" s="19" t="str">
        <f t="shared" ca="1" si="58"/>
        <v>=J230</v>
      </c>
    </row>
    <row r="246" spans="3:16" x14ac:dyDescent="0.2">
      <c r="C246" s="100"/>
      <c r="D246" s="92"/>
      <c r="E246" s="91" t="s">
        <v>211</v>
      </c>
      <c r="G246" s="103" t="str">
        <f>Currency</f>
        <v>US$'000</v>
      </c>
      <c r="J246" s="108">
        <f ca="1">MAX(J244*J245,0)</f>
        <v>0</v>
      </c>
      <c r="K246" s="108">
        <f t="shared" ref="K246:N246" ca="1" si="80">MAX(K244*K245,0)</f>
        <v>0</v>
      </c>
      <c r="L246" s="108">
        <f t="shared" ca="1" si="80"/>
        <v>0</v>
      </c>
      <c r="M246" s="108">
        <f t="shared" ca="1" si="80"/>
        <v>0</v>
      </c>
      <c r="N246" s="108">
        <f t="shared" ca="1" si="80"/>
        <v>34.901042330409879</v>
      </c>
      <c r="O246" s="102"/>
      <c r="P246" s="19" t="str">
        <f t="shared" ca="1" si="58"/>
        <v>=MAX(J244*J245,0)</v>
      </c>
    </row>
    <row r="247" spans="3:16" x14ac:dyDescent="0.2">
      <c r="C247" s="100"/>
      <c r="O247" s="102"/>
      <c r="P247" s="19"/>
    </row>
    <row r="248" spans="3:16" x14ac:dyDescent="0.2">
      <c r="C248" s="100"/>
      <c r="D248" s="92"/>
      <c r="E248" s="91" t="str">
        <f>'General Assumptions'!E114</f>
        <v>Payment Delay</v>
      </c>
      <c r="G248" s="103" t="str">
        <f>No_of_Years</f>
        <v># Year(s)</v>
      </c>
      <c r="I248" s="148">
        <f>'General Assumptions'!I114</f>
        <v>1</v>
      </c>
      <c r="O248" s="102"/>
      <c r="P248" s="19" t="str">
        <f ca="1">_xlfn.FORMULATEXT(I248)</f>
        <v>='General Assumptions'!I114</v>
      </c>
    </row>
    <row r="249" spans="3:16" x14ac:dyDescent="0.2">
      <c r="C249" s="100"/>
      <c r="D249" s="92"/>
      <c r="O249" s="102"/>
      <c r="P249" s="19"/>
    </row>
    <row r="250" spans="3:16" x14ac:dyDescent="0.2">
      <c r="C250" s="100"/>
      <c r="D250" s="92"/>
      <c r="E250" s="91" t="s">
        <v>213</v>
      </c>
      <c r="G250" s="103" t="str">
        <f>Currency</f>
        <v>US$'000</v>
      </c>
      <c r="J250" s="135">
        <f>I253</f>
        <v>40</v>
      </c>
      <c r="K250" s="135">
        <f t="shared" ref="K250:N250" ca="1" si="81">J253</f>
        <v>0</v>
      </c>
      <c r="L250" s="135">
        <f t="shared" ca="1" si="81"/>
        <v>0</v>
      </c>
      <c r="M250" s="135">
        <f t="shared" ca="1" si="81"/>
        <v>0</v>
      </c>
      <c r="N250" s="135">
        <f t="shared" ca="1" si="81"/>
        <v>0</v>
      </c>
      <c r="O250" s="102"/>
      <c r="P250" s="19" t="str">
        <f t="shared" ref="P250:P283" ca="1" si="82">_xlfn.FORMULATEXT(J250)</f>
        <v>=I253</v>
      </c>
    </row>
    <row r="251" spans="3:16" x14ac:dyDescent="0.2">
      <c r="C251" s="100"/>
      <c r="D251" s="92"/>
      <c r="E251" s="91" t="s">
        <v>214</v>
      </c>
      <c r="G251" s="103" t="str">
        <f>Currency</f>
        <v>US$'000</v>
      </c>
      <c r="I251" s="111">
        <f>I253</f>
        <v>40</v>
      </c>
      <c r="J251" s="135">
        <f ca="1">J246</f>
        <v>0</v>
      </c>
      <c r="K251" s="135">
        <f t="shared" ref="K251:N251" ca="1" si="83">K246</f>
        <v>0</v>
      </c>
      <c r="L251" s="135">
        <f t="shared" ca="1" si="83"/>
        <v>0</v>
      </c>
      <c r="M251" s="135">
        <f t="shared" ca="1" si="83"/>
        <v>0</v>
      </c>
      <c r="N251" s="135">
        <f t="shared" ca="1" si="83"/>
        <v>34.901042330409879</v>
      </c>
      <c r="O251" s="102"/>
      <c r="P251" s="19" t="str">
        <f t="shared" ca="1" si="82"/>
        <v>=J246</v>
      </c>
    </row>
    <row r="252" spans="3:16" x14ac:dyDescent="0.2">
      <c r="C252" s="100"/>
      <c r="D252" s="92"/>
      <c r="E252" s="91" t="s">
        <v>215</v>
      </c>
      <c r="G252" s="103" t="str">
        <f>Currency</f>
        <v>US$'000</v>
      </c>
      <c r="J252" s="135">
        <f ca="1">-IF(J$9-$I248&lt;0,0,OFFSET(J251,0,-$I248))</f>
        <v>-40</v>
      </c>
      <c r="K252" s="135">
        <f t="shared" ref="K252:N252" ca="1" si="84">-IF(K$9-$I248&lt;0,0,OFFSET(K251,0,-$I248))</f>
        <v>0</v>
      </c>
      <c r="L252" s="135">
        <f t="shared" ca="1" si="84"/>
        <v>0</v>
      </c>
      <c r="M252" s="135">
        <f t="shared" ca="1" si="84"/>
        <v>0</v>
      </c>
      <c r="N252" s="135">
        <f t="shared" ca="1" si="84"/>
        <v>0</v>
      </c>
      <c r="O252" s="102"/>
      <c r="P252" s="19" t="str">
        <f t="shared" ca="1" si="82"/>
        <v>=-IF(J$9-$I248&lt;0,0,OFFSET(J251,0,-$I248))</v>
      </c>
    </row>
    <row r="253" spans="3:16" x14ac:dyDescent="0.2">
      <c r="C253" s="100"/>
      <c r="D253" s="92"/>
      <c r="E253" s="91" t="s">
        <v>216</v>
      </c>
      <c r="G253" s="103" t="str">
        <f>Currency</f>
        <v>US$'000</v>
      </c>
      <c r="I253" s="104">
        <f>'Opening Balance Sheet'!I30</f>
        <v>40</v>
      </c>
      <c r="J253" s="138">
        <f ca="1">SUM(J250:J252)</f>
        <v>0</v>
      </c>
      <c r="K253" s="138">
        <f t="shared" ref="K253:N253" ca="1" si="85">SUM(K250:K252)</f>
        <v>0</v>
      </c>
      <c r="L253" s="138">
        <f t="shared" ca="1" si="85"/>
        <v>0</v>
      </c>
      <c r="M253" s="138">
        <f t="shared" ca="1" si="85"/>
        <v>0</v>
      </c>
      <c r="N253" s="138">
        <f t="shared" ca="1" si="85"/>
        <v>34.901042330409879</v>
      </c>
      <c r="O253" s="102"/>
      <c r="P253" s="19" t="str">
        <f t="shared" ca="1" si="82"/>
        <v>=SUM(J250:J252)</v>
      </c>
    </row>
    <row r="254" spans="3:16" x14ac:dyDescent="0.2">
      <c r="C254" s="100"/>
      <c r="O254" s="102"/>
      <c r="P254" s="19"/>
    </row>
    <row r="255" spans="3:16" ht="15" x14ac:dyDescent="0.25">
      <c r="C255" s="100"/>
      <c r="D255" s="79" t="s">
        <v>217</v>
      </c>
      <c r="O255" s="102"/>
      <c r="P255" s="19"/>
    </row>
    <row r="256" spans="3:16" x14ac:dyDescent="0.2">
      <c r="C256" s="100"/>
      <c r="D256" s="101"/>
      <c r="O256" s="102"/>
      <c r="P256" s="19"/>
    </row>
    <row r="257" spans="3:16" x14ac:dyDescent="0.2">
      <c r="C257" s="100"/>
      <c r="D257" s="92"/>
      <c r="E257" s="91" t="s">
        <v>119</v>
      </c>
      <c r="G257" s="103" t="str">
        <f>Currency</f>
        <v>US$'000</v>
      </c>
      <c r="I257" s="140">
        <f>'General Assumptions'!I105</f>
        <v>75</v>
      </c>
      <c r="O257" s="102"/>
      <c r="P257" s="19" t="str">
        <f ca="1">_xlfn.FORMULATEXT(I257)</f>
        <v>='General Assumptions'!I105</v>
      </c>
    </row>
    <row r="258" spans="3:16" x14ac:dyDescent="0.2">
      <c r="C258" s="100"/>
      <c r="D258" s="92"/>
      <c r="E258" s="91" t="str">
        <f>E230</f>
        <v>Tax Rate</v>
      </c>
      <c r="G258" s="103" t="str">
        <f>Percentage</f>
        <v>%</v>
      </c>
      <c r="I258" s="105">
        <f>'General Assumptions'!I85</f>
        <v>0.3</v>
      </c>
      <c r="O258" s="102"/>
      <c r="P258" s="19" t="str">
        <f ca="1">_xlfn.FORMULATEXT(I258)</f>
        <v>='General Assumptions'!I85</v>
      </c>
    </row>
    <row r="259" spans="3:16" x14ac:dyDescent="0.2">
      <c r="C259" s="100"/>
      <c r="D259" s="92"/>
      <c r="E259" s="91" t="s">
        <v>218</v>
      </c>
      <c r="G259" s="103" t="str">
        <f>Currency</f>
        <v>US$'000</v>
      </c>
      <c r="I259" s="135">
        <f>IF(I258&lt;=0,0,I257/I258)</f>
        <v>250</v>
      </c>
      <c r="J259" s="135"/>
      <c r="K259" s="135"/>
      <c r="L259" s="135"/>
      <c r="M259" s="135"/>
      <c r="N259" s="135"/>
      <c r="O259" s="102"/>
      <c r="P259" s="19"/>
    </row>
    <row r="260" spans="3:16" x14ac:dyDescent="0.2">
      <c r="C260" s="100"/>
      <c r="D260" s="92"/>
      <c r="I260" s="135"/>
      <c r="J260" s="135"/>
      <c r="K260" s="135"/>
      <c r="L260" s="135"/>
      <c r="M260" s="135"/>
      <c r="N260" s="135"/>
      <c r="O260" s="102"/>
      <c r="P260" s="19"/>
    </row>
    <row r="261" spans="3:16" x14ac:dyDescent="0.2">
      <c r="C261" s="100"/>
      <c r="D261" s="92"/>
      <c r="E261" s="91" t="str">
        <f>E259</f>
        <v>Opening Tax Losses</v>
      </c>
      <c r="G261" s="103" t="str">
        <f>Currency</f>
        <v>US$'000</v>
      </c>
      <c r="I261" s="135"/>
      <c r="J261" s="135">
        <f>I264</f>
        <v>250</v>
      </c>
      <c r="K261" s="135">
        <f t="shared" ref="K261:N261" ca="1" si="86">J264</f>
        <v>276.42179821154866</v>
      </c>
      <c r="L261" s="135">
        <f t="shared" ca="1" si="86"/>
        <v>280.29105149034274</v>
      </c>
      <c r="M261" s="135">
        <f t="shared" ca="1" si="86"/>
        <v>200.70371608641642</v>
      </c>
      <c r="N261" s="135">
        <f t="shared" ca="1" si="86"/>
        <v>55.580687108932807</v>
      </c>
      <c r="O261" s="102"/>
      <c r="P261" s="19" t="str">
        <f t="shared" ca="1" si="82"/>
        <v>=I264</v>
      </c>
    </row>
    <row r="262" spans="3:16" x14ac:dyDescent="0.2">
      <c r="C262" s="100"/>
      <c r="D262" s="92"/>
      <c r="E262" s="91" t="s">
        <v>219</v>
      </c>
      <c r="G262" s="103" t="str">
        <f>Currency</f>
        <v>US$'000</v>
      </c>
      <c r="I262" s="135"/>
      <c r="J262" s="135">
        <f ca="1">-MIN(J242,0)</f>
        <v>26.421798211548634</v>
      </c>
      <c r="K262" s="135">
        <f t="shared" ref="K262:N262" ca="1" si="87">-MIN(K242,0)</f>
        <v>3.8692532787940763</v>
      </c>
      <c r="L262" s="135">
        <f t="shared" ca="1" si="87"/>
        <v>0</v>
      </c>
      <c r="M262" s="135">
        <f t="shared" ca="1" si="87"/>
        <v>0</v>
      </c>
      <c r="N262" s="135">
        <f t="shared" ca="1" si="87"/>
        <v>0</v>
      </c>
      <c r="O262" s="102"/>
      <c r="P262" s="19" t="str">
        <f t="shared" ca="1" si="82"/>
        <v>=-MIN(J242,0)</v>
      </c>
    </row>
    <row r="263" spans="3:16" x14ac:dyDescent="0.2">
      <c r="C263" s="100"/>
      <c r="D263" s="92"/>
      <c r="E263" s="91" t="str">
        <f>E243</f>
        <v>Tax Losses Used</v>
      </c>
      <c r="G263" s="103" t="str">
        <f>Currency</f>
        <v>US$'000</v>
      </c>
      <c r="I263" s="135"/>
      <c r="J263" s="135">
        <f ca="1">IF(J242&gt;0,-MAX(MIN(J242,J261),0),0)</f>
        <v>0</v>
      </c>
      <c r="K263" s="135">
        <f t="shared" ref="K263:N263" ca="1" si="88">IF(K242&gt;0,-MAX(MIN(K242,K261),0),0)</f>
        <v>0</v>
      </c>
      <c r="L263" s="135">
        <f t="shared" ca="1" si="88"/>
        <v>-79.587335403926332</v>
      </c>
      <c r="M263" s="135">
        <f t="shared" ca="1" si="88"/>
        <v>-145.12302897748361</v>
      </c>
      <c r="N263" s="135">
        <f t="shared" ca="1" si="88"/>
        <v>-55.580687108932807</v>
      </c>
      <c r="O263" s="102"/>
      <c r="P263" s="19" t="str">
        <f t="shared" ca="1" si="82"/>
        <v>=IF(J242&gt;0,-MAX(MIN(J242,J261),0),0)</v>
      </c>
    </row>
    <row r="264" spans="3:16" x14ac:dyDescent="0.2">
      <c r="C264" s="100"/>
      <c r="D264" s="92"/>
      <c r="E264" s="91" t="s">
        <v>220</v>
      </c>
      <c r="G264" s="103" t="str">
        <f>Currency</f>
        <v>US$'000</v>
      </c>
      <c r="I264" s="135">
        <f>I259</f>
        <v>250</v>
      </c>
      <c r="J264" s="138">
        <f ca="1">SUM(J261:J263)</f>
        <v>276.42179821154866</v>
      </c>
      <c r="K264" s="138">
        <f t="shared" ref="K264:N264" ca="1" si="89">SUM(K261:K263)</f>
        <v>280.29105149034274</v>
      </c>
      <c r="L264" s="138">
        <f t="shared" ca="1" si="89"/>
        <v>200.70371608641642</v>
      </c>
      <c r="M264" s="138">
        <f t="shared" ca="1" si="89"/>
        <v>55.580687108932807</v>
      </c>
      <c r="N264" s="138">
        <f t="shared" ca="1" si="89"/>
        <v>0</v>
      </c>
      <c r="O264" s="102"/>
      <c r="P264" s="19" t="str">
        <f t="shared" ca="1" si="82"/>
        <v>=SUM(J261:J263)</v>
      </c>
    </row>
    <row r="265" spans="3:16" x14ac:dyDescent="0.2">
      <c r="C265" s="100"/>
      <c r="D265" s="92"/>
      <c r="I265" s="95"/>
      <c r="J265" s="95"/>
      <c r="K265" s="95"/>
      <c r="L265" s="95"/>
      <c r="M265" s="95"/>
      <c r="N265" s="95"/>
      <c r="O265" s="102"/>
      <c r="P265" s="19"/>
    </row>
    <row r="266" spans="3:16" x14ac:dyDescent="0.2">
      <c r="C266" s="100"/>
      <c r="D266" s="92"/>
      <c r="E266" s="91" t="s">
        <v>221</v>
      </c>
      <c r="G266" s="103" t="str">
        <f>Currency</f>
        <v>US$'000</v>
      </c>
      <c r="I266" s="95"/>
      <c r="J266" s="135">
        <f ca="1">SUM(J262:J263)</f>
        <v>26.421798211548634</v>
      </c>
      <c r="K266" s="135">
        <f ca="1">SUM(K262:K263)</f>
        <v>3.8692532787940763</v>
      </c>
      <c r="L266" s="135">
        <f t="shared" ref="L266:N266" ca="1" si="90">SUM(L262:L263)</f>
        <v>-79.587335403926332</v>
      </c>
      <c r="M266" s="135">
        <f t="shared" ca="1" si="90"/>
        <v>-145.12302897748361</v>
      </c>
      <c r="N266" s="135">
        <f t="shared" ca="1" si="90"/>
        <v>-55.580687108932807</v>
      </c>
      <c r="O266" s="102"/>
      <c r="P266" s="19" t="str">
        <f t="shared" ca="1" si="82"/>
        <v>=SUM(J262:J263)</v>
      </c>
    </row>
    <row r="267" spans="3:16" x14ac:dyDescent="0.2">
      <c r="C267" s="100"/>
      <c r="D267" s="92"/>
      <c r="O267" s="102"/>
      <c r="P267" s="19"/>
    </row>
    <row r="268" spans="3:16" x14ac:dyDescent="0.2">
      <c r="C268" s="100"/>
      <c r="D268" s="92"/>
      <c r="E268" s="91" t="str">
        <f>E258</f>
        <v>Tax Rate</v>
      </c>
      <c r="G268" s="103" t="str">
        <f>Percentage</f>
        <v>%</v>
      </c>
      <c r="J268" s="144">
        <f>J230</f>
        <v>0.3</v>
      </c>
      <c r="K268" s="144">
        <f t="shared" ref="K268:N268" si="91">K230</f>
        <v>0.3</v>
      </c>
      <c r="L268" s="144">
        <f t="shared" si="91"/>
        <v>0.3</v>
      </c>
      <c r="M268" s="144">
        <f t="shared" si="91"/>
        <v>0.3</v>
      </c>
      <c r="N268" s="144">
        <f t="shared" si="91"/>
        <v>0.3</v>
      </c>
      <c r="O268" s="102"/>
      <c r="P268" s="19" t="str">
        <f t="shared" ca="1" si="82"/>
        <v>=J230</v>
      </c>
    </row>
    <row r="269" spans="3:16" x14ac:dyDescent="0.2">
      <c r="C269" s="100"/>
      <c r="D269" s="92"/>
      <c r="O269" s="102"/>
      <c r="P269" s="19"/>
    </row>
    <row r="270" spans="3:16" x14ac:dyDescent="0.2">
      <c r="C270" s="100"/>
      <c r="D270" s="92"/>
      <c r="E270" s="91" t="s">
        <v>136</v>
      </c>
      <c r="G270" s="103" t="str">
        <f>Currency</f>
        <v>US$'000</v>
      </c>
      <c r="I270" s="135"/>
      <c r="J270" s="138">
        <f ca="1">J268*J266</f>
        <v>7.9265394634645894</v>
      </c>
      <c r="K270" s="138">
        <f t="shared" ref="K270:N270" ca="1" si="92">K268*K266</f>
        <v>1.1607759836382228</v>
      </c>
      <c r="L270" s="138">
        <f t="shared" ca="1" si="92"/>
        <v>-23.876200621177897</v>
      </c>
      <c r="M270" s="138">
        <f t="shared" ca="1" si="92"/>
        <v>-43.536908693245081</v>
      </c>
      <c r="N270" s="138">
        <f t="shared" ca="1" si="92"/>
        <v>-16.674206132679842</v>
      </c>
      <c r="O270" s="102"/>
      <c r="P270" s="19" t="str">
        <f t="shared" ca="1" si="82"/>
        <v>=J268*J266</v>
      </c>
    </row>
    <row r="271" spans="3:16" x14ac:dyDescent="0.2">
      <c r="C271" s="100"/>
      <c r="D271" s="92"/>
      <c r="I271" s="135"/>
      <c r="J271" s="135"/>
      <c r="K271" s="135"/>
      <c r="L271" s="135"/>
      <c r="M271" s="135"/>
      <c r="N271" s="135"/>
      <c r="O271" s="102"/>
      <c r="P271" s="19"/>
    </row>
    <row r="272" spans="3:16" x14ac:dyDescent="0.2">
      <c r="C272" s="100"/>
      <c r="D272" s="92"/>
      <c r="E272" s="91" t="s">
        <v>137</v>
      </c>
      <c r="G272" s="103" t="str">
        <f>Currency</f>
        <v>US$'000</v>
      </c>
      <c r="I272" s="135"/>
      <c r="J272" s="135">
        <f>I274</f>
        <v>75</v>
      </c>
      <c r="K272" s="135">
        <f t="shared" ref="K272:N272" ca="1" si="93">J274</f>
        <v>82.926539463464593</v>
      </c>
      <c r="L272" s="135">
        <f t="shared" ca="1" si="93"/>
        <v>84.08731544710281</v>
      </c>
      <c r="M272" s="135">
        <f t="shared" ca="1" si="93"/>
        <v>60.211114825924909</v>
      </c>
      <c r="N272" s="135">
        <f t="shared" ca="1" si="93"/>
        <v>16.674206132679828</v>
      </c>
      <c r="O272" s="102"/>
      <c r="P272" s="19" t="str">
        <f t="shared" ca="1" si="82"/>
        <v>=I274</v>
      </c>
    </row>
    <row r="273" spans="3:16" x14ac:dyDescent="0.2">
      <c r="C273" s="100"/>
      <c r="D273" s="92"/>
      <c r="E273" s="91" t="str">
        <f>E270</f>
        <v>Movement in DTAs</v>
      </c>
      <c r="G273" s="103" t="str">
        <f>Currency</f>
        <v>US$'000</v>
      </c>
      <c r="I273" s="135"/>
      <c r="J273" s="135">
        <f ca="1">J270</f>
        <v>7.9265394634645894</v>
      </c>
      <c r="K273" s="135">
        <f t="shared" ref="K273:N273" ca="1" si="94">K270</f>
        <v>1.1607759836382228</v>
      </c>
      <c r="L273" s="135">
        <f t="shared" ca="1" si="94"/>
        <v>-23.876200621177897</v>
      </c>
      <c r="M273" s="135">
        <f t="shared" ca="1" si="94"/>
        <v>-43.536908693245081</v>
      </c>
      <c r="N273" s="135">
        <f t="shared" ca="1" si="94"/>
        <v>-16.674206132679842</v>
      </c>
      <c r="O273" s="102"/>
      <c r="P273" s="19" t="str">
        <f t="shared" ca="1" si="82"/>
        <v>=J270</v>
      </c>
    </row>
    <row r="274" spans="3:16" x14ac:dyDescent="0.2">
      <c r="C274" s="100"/>
      <c r="D274" s="92"/>
      <c r="E274" s="91" t="s">
        <v>138</v>
      </c>
      <c r="G274" s="103" t="str">
        <f>Currency</f>
        <v>US$'000</v>
      </c>
      <c r="I274" s="135">
        <f>I257</f>
        <v>75</v>
      </c>
      <c r="J274" s="138">
        <f ca="1">SUM(J272:J273)</f>
        <v>82.926539463464593</v>
      </c>
      <c r="K274" s="138">
        <f t="shared" ref="K274:N274" ca="1" si="95">SUM(K272:K273)</f>
        <v>84.08731544710281</v>
      </c>
      <c r="L274" s="138">
        <f t="shared" ca="1" si="95"/>
        <v>60.211114825924909</v>
      </c>
      <c r="M274" s="138">
        <f t="shared" ca="1" si="95"/>
        <v>16.674206132679828</v>
      </c>
      <c r="N274" s="138">
        <f t="shared" ca="1" si="95"/>
        <v>0</v>
      </c>
      <c r="O274" s="109" t="str">
        <f>Balance_Sheet</f>
        <v>BS</v>
      </c>
      <c r="P274" s="19" t="str">
        <f t="shared" ca="1" si="82"/>
        <v>=SUM(J272:J273)</v>
      </c>
    </row>
    <row r="275" spans="3:16" x14ac:dyDescent="0.2">
      <c r="C275" s="100"/>
      <c r="I275" s="135"/>
      <c r="J275" s="135"/>
      <c r="K275" s="135"/>
      <c r="L275" s="135"/>
      <c r="M275" s="135"/>
      <c r="N275" s="135"/>
      <c r="O275" s="102"/>
      <c r="P275" s="19"/>
    </row>
    <row r="276" spans="3:16" ht="15" x14ac:dyDescent="0.25">
      <c r="C276" s="100"/>
      <c r="D276" s="79" t="str">
        <f>D152</f>
        <v>Control Account</v>
      </c>
      <c r="I276" s="135"/>
      <c r="J276" s="135"/>
      <c r="K276" s="135"/>
      <c r="L276" s="135"/>
      <c r="M276" s="135"/>
      <c r="N276" s="135"/>
      <c r="O276" s="102"/>
      <c r="P276" s="19"/>
    </row>
    <row r="277" spans="3:16" x14ac:dyDescent="0.2">
      <c r="C277" s="100"/>
      <c r="D277" s="101"/>
      <c r="I277" s="135"/>
      <c r="J277" s="135"/>
      <c r="K277" s="135"/>
      <c r="L277" s="135"/>
      <c r="M277" s="135"/>
      <c r="N277" s="135"/>
      <c r="O277" s="102"/>
      <c r="P277" s="19"/>
    </row>
    <row r="278" spans="3:16" x14ac:dyDescent="0.2">
      <c r="C278" s="100"/>
      <c r="D278" s="92"/>
      <c r="E278" s="91" t="str">
        <f>E250</f>
        <v>Opening Tax Payable</v>
      </c>
      <c r="G278" s="103" t="str">
        <f t="shared" ref="G278:G283" si="96">Currency</f>
        <v>US$'000</v>
      </c>
      <c r="I278" s="135"/>
      <c r="J278" s="135">
        <f>I283</f>
        <v>40</v>
      </c>
      <c r="K278" s="135">
        <f ca="1">J283</f>
        <v>0</v>
      </c>
      <c r="L278" s="135">
        <f t="shared" ref="L278:N278" ca="1" si="97">K283</f>
        <v>0</v>
      </c>
      <c r="M278" s="135">
        <f t="shared" ca="1" si="97"/>
        <v>0</v>
      </c>
      <c r="N278" s="135">
        <f t="shared" ca="1" si="97"/>
        <v>0</v>
      </c>
      <c r="O278" s="106" t="str">
        <f>Balance_Sheet</f>
        <v>BS</v>
      </c>
      <c r="P278" s="19" t="str">
        <f t="shared" ca="1" si="82"/>
        <v>=I283</v>
      </c>
    </row>
    <row r="279" spans="3:16" x14ac:dyDescent="0.2">
      <c r="C279" s="100"/>
      <c r="D279" s="92"/>
      <c r="E279" s="91" t="str">
        <f>E196</f>
        <v xml:space="preserve">Tax Expense / (Credit) </v>
      </c>
      <c r="G279" s="103" t="str">
        <f t="shared" si="96"/>
        <v>US$'000</v>
      </c>
      <c r="I279" s="135"/>
      <c r="J279" s="135">
        <f ca="1">J196</f>
        <v>30.323460536535407</v>
      </c>
      <c r="K279" s="135">
        <f t="shared" ref="K279:N279" ca="1" si="98">K196</f>
        <v>17.739224016361778</v>
      </c>
      <c r="L279" s="135">
        <f ca="1">L196</f>
        <v>19.691200621177902</v>
      </c>
      <c r="M279" s="135">
        <f t="shared" ca="1" si="98"/>
        <v>22.575908693245083</v>
      </c>
      <c r="N279" s="135">
        <f t="shared" ca="1" si="98"/>
        <v>38.321248463089724</v>
      </c>
      <c r="O279" s="106" t="str">
        <f>Income_Statement</f>
        <v>IS</v>
      </c>
      <c r="P279" s="19" t="str">
        <f t="shared" ca="1" si="82"/>
        <v>=J196</v>
      </c>
    </row>
    <row r="280" spans="3:16" x14ac:dyDescent="0.2">
      <c r="C280" s="100"/>
      <c r="D280" s="92"/>
      <c r="E280" s="91" t="str">
        <f>E252</f>
        <v>Tax Paid</v>
      </c>
      <c r="G280" s="103" t="str">
        <f t="shared" si="96"/>
        <v>US$'000</v>
      </c>
      <c r="I280" s="135"/>
      <c r="J280" s="135">
        <f ca="1">J252</f>
        <v>-40</v>
      </c>
      <c r="K280" s="135">
        <f t="shared" ref="K280:N280" ca="1" si="99">K252</f>
        <v>0</v>
      </c>
      <c r="L280" s="135">
        <f t="shared" ca="1" si="99"/>
        <v>0</v>
      </c>
      <c r="M280" s="135">
        <f t="shared" ca="1" si="99"/>
        <v>0</v>
      </c>
      <c r="N280" s="135">
        <f t="shared" ca="1" si="99"/>
        <v>0</v>
      </c>
      <c r="O280" s="106" t="str">
        <f>Cash_Flow_Statement</f>
        <v>CFS</v>
      </c>
      <c r="P280" s="19" t="str">
        <f t="shared" ca="1" si="82"/>
        <v>=J252</v>
      </c>
    </row>
    <row r="281" spans="3:16" x14ac:dyDescent="0.2">
      <c r="C281" s="100"/>
      <c r="D281" s="92"/>
      <c r="E281" s="91" t="str">
        <f>E270</f>
        <v>Movement in DTAs</v>
      </c>
      <c r="G281" s="103" t="str">
        <f t="shared" si="96"/>
        <v>US$'000</v>
      </c>
      <c r="I281" s="135"/>
      <c r="J281" s="135">
        <f ca="1">J270</f>
        <v>7.9265394634645894</v>
      </c>
      <c r="K281" s="135">
        <f t="shared" ref="K281:N281" ca="1" si="100">K270</f>
        <v>1.1607759836382228</v>
      </c>
      <c r="L281" s="135">
        <f t="shared" ca="1" si="100"/>
        <v>-23.876200621177897</v>
      </c>
      <c r="M281" s="135">
        <f t="shared" ca="1" si="100"/>
        <v>-43.536908693245081</v>
      </c>
      <c r="N281" s="135">
        <f t="shared" ca="1" si="100"/>
        <v>-16.674206132679842</v>
      </c>
      <c r="O281" s="120"/>
      <c r="P281" s="19" t="str">
        <f t="shared" ca="1" si="82"/>
        <v>=J270</v>
      </c>
    </row>
    <row r="282" spans="3:16" x14ac:dyDescent="0.2">
      <c r="C282" s="100"/>
      <c r="D282" s="92"/>
      <c r="E282" s="91" t="str">
        <f>E232</f>
        <v>Movement in DTLs</v>
      </c>
      <c r="G282" s="103" t="str">
        <f t="shared" si="96"/>
        <v>US$'000</v>
      </c>
      <c r="I282" s="135"/>
      <c r="J282" s="135">
        <f ca="1">-J232</f>
        <v>-38.25</v>
      </c>
      <c r="K282" s="135">
        <f t="shared" ref="K282:N282" ca="1" si="101">-K232</f>
        <v>-18.899999999999999</v>
      </c>
      <c r="L282" s="135">
        <f t="shared" ca="1" si="101"/>
        <v>4.1849999999999961</v>
      </c>
      <c r="M282" s="135">
        <f t="shared" ca="1" si="101"/>
        <v>20.961000000000002</v>
      </c>
      <c r="N282" s="135">
        <f t="shared" ca="1" si="101"/>
        <v>13.254000000000001</v>
      </c>
      <c r="O282" s="120"/>
      <c r="P282" s="19" t="str">
        <f t="shared" ca="1" si="82"/>
        <v>=-J232</v>
      </c>
    </row>
    <row r="283" spans="3:16" x14ac:dyDescent="0.2">
      <c r="C283" s="100"/>
      <c r="D283" s="92"/>
      <c r="E283" s="91" t="str">
        <f>E253</f>
        <v>Closing Tax Payable</v>
      </c>
      <c r="G283" s="103" t="str">
        <f t="shared" si="96"/>
        <v>US$'000</v>
      </c>
      <c r="I283" s="135">
        <f>I253</f>
        <v>40</v>
      </c>
      <c r="J283" s="138">
        <f ca="1">SUM(J278:J282)</f>
        <v>0</v>
      </c>
      <c r="K283" s="138">
        <f t="shared" ref="K283:N283" ca="1" si="102">SUM(K278:K282)</f>
        <v>0</v>
      </c>
      <c r="L283" s="138">
        <f t="shared" ca="1" si="102"/>
        <v>0</v>
      </c>
      <c r="M283" s="138">
        <f t="shared" ca="1" si="102"/>
        <v>0</v>
      </c>
      <c r="N283" s="138">
        <f t="shared" ca="1" si="102"/>
        <v>34.901042330409879</v>
      </c>
      <c r="O283" s="109" t="str">
        <f>Balance_Sheet</f>
        <v>BS</v>
      </c>
      <c r="P283" s="19" t="str">
        <f t="shared" ca="1" si="82"/>
        <v>=SUM(J278:J282)</v>
      </c>
    </row>
    <row r="284" spans="3:16" x14ac:dyDescent="0.2">
      <c r="C284" s="100"/>
      <c r="O284" s="102"/>
    </row>
    <row r="285" spans="3:16" x14ac:dyDescent="0.2">
      <c r="C285" s="100"/>
      <c r="O285" s="102"/>
    </row>
    <row r="286" spans="3:16" ht="16.5" x14ac:dyDescent="0.25">
      <c r="C286" s="78" t="str">
        <f>'General Assumptions'!C117</f>
        <v xml:space="preserve">Ordinary Equity and Related </v>
      </c>
      <c r="O286" s="102"/>
    </row>
    <row r="287" spans="3:16" x14ac:dyDescent="0.2">
      <c r="C287" s="100"/>
      <c r="O287" s="102"/>
    </row>
    <row r="288" spans="3:16" ht="15" x14ac:dyDescent="0.25">
      <c r="C288" s="100"/>
      <c r="D288" s="79" t="str">
        <f>'General Assumptions'!D119</f>
        <v xml:space="preserve">Ordinary Equity </v>
      </c>
      <c r="O288" s="102"/>
    </row>
    <row r="289" spans="3:16" x14ac:dyDescent="0.2">
      <c r="C289" s="100"/>
      <c r="D289" s="101"/>
      <c r="O289" s="102"/>
    </row>
    <row r="290" spans="3:16" x14ac:dyDescent="0.2">
      <c r="C290" s="100"/>
      <c r="E290" s="91" t="str">
        <f>'General Assumptions'!E121</f>
        <v xml:space="preserve">Equity Issuances </v>
      </c>
      <c r="G290" s="103" t="str">
        <f>Currency</f>
        <v>US$'000</v>
      </c>
      <c r="J290" s="140">
        <f>'General Assumptions'!J121</f>
        <v>15</v>
      </c>
      <c r="K290" s="140">
        <f>'General Assumptions'!K121</f>
        <v>25</v>
      </c>
      <c r="L290" s="140">
        <f>'General Assumptions'!L121</f>
        <v>0</v>
      </c>
      <c r="M290" s="140">
        <f>'General Assumptions'!M121</f>
        <v>10</v>
      </c>
      <c r="N290" s="140">
        <f>'General Assumptions'!N121</f>
        <v>0</v>
      </c>
      <c r="O290" s="102"/>
      <c r="P290" s="19" t="str">
        <f ca="1">_xlfn.FORMULATEXT(J290)</f>
        <v>='General Assumptions'!J121</v>
      </c>
    </row>
    <row r="291" spans="3:16" x14ac:dyDescent="0.2">
      <c r="C291" s="100"/>
      <c r="E291" s="91" t="str">
        <f>'General Assumptions'!E122</f>
        <v>Equity Buybacks</v>
      </c>
      <c r="G291" s="103" t="str">
        <f>Currency</f>
        <v>US$'000</v>
      </c>
      <c r="J291" s="140">
        <f>'General Assumptions'!J122</f>
        <v>0</v>
      </c>
      <c r="K291" s="140">
        <f>'General Assumptions'!K122</f>
        <v>0</v>
      </c>
      <c r="L291" s="140">
        <f>'General Assumptions'!L122</f>
        <v>5</v>
      </c>
      <c r="M291" s="140">
        <f>'General Assumptions'!M122</f>
        <v>5</v>
      </c>
      <c r="N291" s="140">
        <f>'General Assumptions'!N122</f>
        <v>20</v>
      </c>
      <c r="O291" s="102"/>
      <c r="P291" s="19" t="str">
        <f t="shared" ref="P291" ca="1" si="103">_xlfn.FORMULATEXT(J291)</f>
        <v>='General Assumptions'!J122</v>
      </c>
    </row>
    <row r="292" spans="3:16" x14ac:dyDescent="0.2">
      <c r="C292" s="100"/>
      <c r="O292" s="102"/>
      <c r="P292" s="19"/>
    </row>
    <row r="293" spans="3:16" ht="15" x14ac:dyDescent="0.25">
      <c r="C293" s="100"/>
      <c r="D293" s="79" t="str">
        <f>D276</f>
        <v>Control Account</v>
      </c>
      <c r="O293" s="102"/>
      <c r="P293" s="19"/>
    </row>
    <row r="294" spans="3:16" x14ac:dyDescent="0.2">
      <c r="C294" s="100"/>
      <c r="D294" s="101"/>
      <c r="O294" s="102"/>
      <c r="P294" s="19"/>
    </row>
    <row r="295" spans="3:16" x14ac:dyDescent="0.2">
      <c r="C295" s="100"/>
      <c r="E295" s="91" t="s">
        <v>225</v>
      </c>
      <c r="G295" s="103" t="str">
        <f>Currency</f>
        <v>US$'000</v>
      </c>
      <c r="I295" s="135"/>
      <c r="J295" s="135">
        <f>I298</f>
        <v>300</v>
      </c>
      <c r="K295" s="135">
        <f t="shared" ref="K295" si="104">J298</f>
        <v>315</v>
      </c>
      <c r="L295" s="135">
        <f t="shared" ref="L295" si="105">K298</f>
        <v>340</v>
      </c>
      <c r="M295" s="135">
        <f t="shared" ref="M295" si="106">L298</f>
        <v>335</v>
      </c>
      <c r="N295" s="135">
        <f t="shared" ref="N295" si="107">M298</f>
        <v>340</v>
      </c>
      <c r="O295" s="102" t="str">
        <f>Balance_Sheet</f>
        <v>BS</v>
      </c>
      <c r="P295" s="19"/>
    </row>
    <row r="296" spans="3:16" x14ac:dyDescent="0.2">
      <c r="C296" s="100"/>
      <c r="E296" s="91" t="s">
        <v>226</v>
      </c>
      <c r="G296" s="103" t="str">
        <f>Currency</f>
        <v>US$'000</v>
      </c>
      <c r="I296" s="135"/>
      <c r="J296" s="135">
        <f>J290</f>
        <v>15</v>
      </c>
      <c r="K296" s="135">
        <f t="shared" ref="K296:N296" si="108">K290</f>
        <v>25</v>
      </c>
      <c r="L296" s="135">
        <f t="shared" si="108"/>
        <v>0</v>
      </c>
      <c r="M296" s="135">
        <f t="shared" si="108"/>
        <v>10</v>
      </c>
      <c r="N296" s="135">
        <f t="shared" si="108"/>
        <v>0</v>
      </c>
      <c r="O296" s="109" t="str">
        <f>Cash_Flow_Statement</f>
        <v>CFS</v>
      </c>
      <c r="P296" s="19"/>
    </row>
    <row r="297" spans="3:16" x14ac:dyDescent="0.2">
      <c r="C297" s="100"/>
      <c r="E297" s="91" t="s">
        <v>224</v>
      </c>
      <c r="G297" s="103" t="str">
        <f>Currency</f>
        <v>US$'000</v>
      </c>
      <c r="I297" s="135"/>
      <c r="J297" s="135">
        <f>-J291</f>
        <v>0</v>
      </c>
      <c r="K297" s="135">
        <f t="shared" ref="K297:N297" si="109">-K291</f>
        <v>0</v>
      </c>
      <c r="L297" s="135">
        <f t="shared" si="109"/>
        <v>-5</v>
      </c>
      <c r="M297" s="135">
        <f t="shared" si="109"/>
        <v>-5</v>
      </c>
      <c r="N297" s="135">
        <f t="shared" si="109"/>
        <v>-20</v>
      </c>
      <c r="O297" s="109" t="str">
        <f>Cash_Flow_Statement</f>
        <v>CFS</v>
      </c>
      <c r="P297" s="19"/>
    </row>
    <row r="298" spans="3:16" x14ac:dyDescent="0.2">
      <c r="C298" s="100"/>
      <c r="E298" s="91" t="s">
        <v>227</v>
      </c>
      <c r="G298" s="103" t="str">
        <f>Currency</f>
        <v>US$'000</v>
      </c>
      <c r="I298" s="140">
        <f>'Opening Balance Sheet'!I45</f>
        <v>300</v>
      </c>
      <c r="J298" s="138">
        <f>SUM(J295:J297)</f>
        <v>315</v>
      </c>
      <c r="K298" s="138">
        <f t="shared" ref="K298:N298" si="110">SUM(K295:K297)</f>
        <v>340</v>
      </c>
      <c r="L298" s="138">
        <f t="shared" si="110"/>
        <v>335</v>
      </c>
      <c r="M298" s="138">
        <f t="shared" si="110"/>
        <v>340</v>
      </c>
      <c r="N298" s="138">
        <f t="shared" si="110"/>
        <v>320</v>
      </c>
      <c r="O298" s="102" t="str">
        <f>Balance_Sheet</f>
        <v>BS</v>
      </c>
      <c r="P298" s="19" t="str">
        <f ca="1">_xlfn.FORMULATEXT(J298)</f>
        <v>=SUM(J295:J297)</v>
      </c>
    </row>
    <row r="299" spans="3:16" x14ac:dyDescent="0.2">
      <c r="C299" s="100"/>
      <c r="O299" s="102"/>
      <c r="P299" s="19"/>
    </row>
    <row r="300" spans="3:16" ht="15" x14ac:dyDescent="0.25">
      <c r="C300" s="100"/>
      <c r="D300" s="79" t="str">
        <f>'General Assumptions'!D124</f>
        <v>Dividends</v>
      </c>
      <c r="O300" s="102"/>
      <c r="P300" s="19"/>
    </row>
    <row r="301" spans="3:16" x14ac:dyDescent="0.2">
      <c r="C301" s="100"/>
      <c r="D301" s="91" t="str">
        <f>'General Assumptions'!D125</f>
        <v>Dividends are assumed to be paid in the period after they are declared.</v>
      </c>
      <c r="O301" s="102"/>
      <c r="P301" s="19"/>
    </row>
    <row r="302" spans="3:16" x14ac:dyDescent="0.2">
      <c r="C302" s="100"/>
      <c r="O302" s="102"/>
      <c r="P302" s="19"/>
    </row>
    <row r="303" spans="3:16" x14ac:dyDescent="0.2">
      <c r="C303" s="100"/>
      <c r="D303" s="92"/>
      <c r="E303" s="91" t="str">
        <f>'General Assumptions'!E127</f>
        <v xml:space="preserve">Dividend Payout Ratio </v>
      </c>
      <c r="G303" s="103" t="str">
        <f>Percentage</f>
        <v>%</v>
      </c>
      <c r="J303" s="105">
        <f>'General Assumptions'!J127</f>
        <v>0.25</v>
      </c>
      <c r="K303" s="105">
        <f>'General Assumptions'!K127</f>
        <v>0.3</v>
      </c>
      <c r="L303" s="105">
        <f>'General Assumptions'!L127</f>
        <v>0.35</v>
      </c>
      <c r="M303" s="105">
        <f>'General Assumptions'!M127</f>
        <v>0.4</v>
      </c>
      <c r="N303" s="105">
        <f>'General Assumptions'!N127</f>
        <v>0.45</v>
      </c>
      <c r="O303" s="102"/>
      <c r="P303" s="19" t="str">
        <f t="shared" ref="P303:P321" ca="1" si="111">_xlfn.FORMULATEXT(J303)</f>
        <v>='General Assumptions'!J127</v>
      </c>
    </row>
    <row r="304" spans="3:16" x14ac:dyDescent="0.2">
      <c r="C304" s="100"/>
      <c r="O304" s="102"/>
      <c r="P304" s="19"/>
    </row>
    <row r="305" spans="3:16" ht="15" x14ac:dyDescent="0.25">
      <c r="C305" s="100"/>
      <c r="D305" s="79" t="s">
        <v>228</v>
      </c>
      <c r="O305" s="102"/>
      <c r="P305" s="19"/>
    </row>
    <row r="306" spans="3:16" x14ac:dyDescent="0.2">
      <c r="C306" s="100"/>
      <c r="D306" s="101"/>
      <c r="O306" s="102"/>
      <c r="P306" s="19"/>
    </row>
    <row r="307" spans="3:16" x14ac:dyDescent="0.2">
      <c r="C307" s="100"/>
      <c r="D307" s="92"/>
      <c r="E307" s="91" t="str">
        <f>'Balance Sheet'!D49</f>
        <v>Retained Profits</v>
      </c>
      <c r="G307" s="103" t="str">
        <f>Currency</f>
        <v>US$'000</v>
      </c>
      <c r="J307" s="140">
        <f>'Balance Sheet'!J46</f>
        <v>245</v>
      </c>
      <c r="K307" s="140">
        <f ca="1">'Balance Sheet'!K46</f>
        <v>286.81605593893698</v>
      </c>
      <c r="L307" s="140">
        <f ca="1">'Balance Sheet'!L46</f>
        <v>322.0901218323279</v>
      </c>
      <c r="M307" s="140">
        <f ca="1">'Balance Sheet'!M46</f>
        <v>351.95510944111442</v>
      </c>
      <c r="N307" s="140">
        <f ca="1">'Balance Sheet'!N46</f>
        <v>380.56138161165751</v>
      </c>
      <c r="O307" s="102"/>
      <c r="P307" s="19" t="str">
        <f t="shared" ca="1" si="111"/>
        <v>='Balance Sheet'!J46</v>
      </c>
    </row>
    <row r="308" spans="3:16" x14ac:dyDescent="0.2">
      <c r="C308" s="100"/>
      <c r="D308" s="92"/>
      <c r="E308" s="91" t="str">
        <f>'Income Statement'!D27</f>
        <v>NPAT</v>
      </c>
      <c r="G308" s="103" t="str">
        <f>Currency</f>
        <v>US$'000</v>
      </c>
      <c r="J308" s="140">
        <f ca="1">'Income Statement'!J27</f>
        <v>55.754741251915959</v>
      </c>
      <c r="K308" s="140">
        <f ca="1">'Income Statement'!K27</f>
        <v>50.391522704844149</v>
      </c>
      <c r="L308" s="140">
        <f ca="1">'Income Statement'!L27</f>
        <v>45.946134782748445</v>
      </c>
      <c r="M308" s="140">
        <f ca="1">'Income Statement'!M27</f>
        <v>47.677120284238526</v>
      </c>
      <c r="N308" s="140">
        <f ca="1">'Income Statement'!N27</f>
        <v>64.416246413876024</v>
      </c>
      <c r="O308" s="102"/>
      <c r="P308" s="19" t="str">
        <f t="shared" ca="1" si="111"/>
        <v>='Income Statement'!J27</v>
      </c>
    </row>
    <row r="309" spans="3:16" x14ac:dyDescent="0.2">
      <c r="C309" s="100"/>
      <c r="D309" s="92"/>
      <c r="E309" s="91" t="s">
        <v>230</v>
      </c>
      <c r="G309" s="103" t="str">
        <f>Currency</f>
        <v>US$'000</v>
      </c>
      <c r="J309" s="140">
        <f ca="1">'Cash Flow Statement'!J22+'Cash Flow Statement'!J27+SUM('Cash Flow Statement'!J30:J33)</f>
        <v>28.835616438356169</v>
      </c>
      <c r="K309" s="140">
        <f ca="1">'Cash Flow Statement'!K22+'Cash Flow Statement'!K27+SUM('Cash Flow Statement'!K30:K33)</f>
        <v>102.83847576105413</v>
      </c>
      <c r="L309" s="140">
        <f ca="1">'Cash Flow Statement'!L22+'Cash Flow Statement'!L27+SUM('Cash Flow Statement'!L30:L33)</f>
        <v>125.34033576230189</v>
      </c>
      <c r="M309" s="140">
        <f ca="1">'Cash Flow Statement'!M22+'Cash Flow Statement'!M27+SUM('Cash Flow Statement'!M30:M33)</f>
        <v>180.27324611580605</v>
      </c>
      <c r="N309" s="140">
        <f ca="1">'Cash Flow Statement'!N22+'Cash Flow Statement'!N27+SUM('Cash Flow Statement'!N30:N33)</f>
        <v>179.95089251217939</v>
      </c>
      <c r="O309" s="102"/>
      <c r="P309" s="19" t="str">
        <f t="shared" ca="1" si="111"/>
        <v>='Cash Flow Statement'!J22+'Cash Flow Statement'!J27+SUM('Cash Flow Statement'!J30:J33)</v>
      </c>
    </row>
    <row r="310" spans="3:16" x14ac:dyDescent="0.2">
      <c r="C310" s="100"/>
      <c r="D310" s="92"/>
      <c r="J310" s="95"/>
      <c r="K310" s="95"/>
      <c r="L310" s="95"/>
      <c r="M310" s="95"/>
      <c r="N310" s="95"/>
      <c r="O310" s="102"/>
      <c r="P310" s="19"/>
    </row>
    <row r="311" spans="3:16" x14ac:dyDescent="0.2">
      <c r="C311" s="100"/>
      <c r="D311" s="92"/>
      <c r="E311" s="91" t="s">
        <v>228</v>
      </c>
      <c r="G311" s="103" t="str">
        <f>Currency</f>
        <v>US$'000</v>
      </c>
      <c r="I311" s="135"/>
      <c r="J311" s="135">
        <f ca="1">MAX(MIN(MAX(J307+J308,J308),J309),0)</f>
        <v>28.835616438356169</v>
      </c>
      <c r="K311" s="135">
        <f t="shared" ref="K311:N311" ca="1" si="112">MAX(MIN(MAX(K307+K308,K308),K309),0)</f>
        <v>102.83847576105413</v>
      </c>
      <c r="L311" s="135">
        <f t="shared" ca="1" si="112"/>
        <v>125.34033576230189</v>
      </c>
      <c r="M311" s="135">
        <f t="shared" ca="1" si="112"/>
        <v>180.27324611580605</v>
      </c>
      <c r="N311" s="135">
        <f t="shared" ca="1" si="112"/>
        <v>179.95089251217939</v>
      </c>
      <c r="O311" s="102"/>
      <c r="P311" s="19" t="str">
        <f t="shared" ca="1" si="111"/>
        <v>=MAX(MIN(MAX(J307+J308,J308),J309),0)</v>
      </c>
    </row>
    <row r="312" spans="3:16" x14ac:dyDescent="0.2">
      <c r="C312" s="100"/>
      <c r="D312" s="92"/>
      <c r="I312" s="135"/>
      <c r="J312" s="135"/>
      <c r="K312" s="135"/>
      <c r="L312" s="135"/>
      <c r="M312" s="135"/>
      <c r="N312" s="135"/>
      <c r="O312" s="102"/>
      <c r="P312" s="19"/>
    </row>
    <row r="313" spans="3:16" x14ac:dyDescent="0.2">
      <c r="C313" s="100"/>
      <c r="D313" s="92"/>
      <c r="E313" s="91" t="s">
        <v>231</v>
      </c>
      <c r="G313" s="103" t="str">
        <f>Currency</f>
        <v>US$'000</v>
      </c>
      <c r="I313" s="135"/>
      <c r="J313" s="135">
        <f ca="1">MAX(J308*J303,0)</f>
        <v>13.93868531297899</v>
      </c>
      <c r="K313" s="135">
        <f t="shared" ref="K313:N313" ca="1" si="113">MAX(K308*K303,0)</f>
        <v>15.117456811453245</v>
      </c>
      <c r="L313" s="135">
        <f t="shared" ca="1" si="113"/>
        <v>16.081147173961956</v>
      </c>
      <c r="M313" s="135">
        <f t="shared" ca="1" si="113"/>
        <v>19.070848113695412</v>
      </c>
      <c r="N313" s="135">
        <f t="shared" ca="1" si="113"/>
        <v>28.987310886244213</v>
      </c>
      <c r="O313" s="102"/>
      <c r="P313" s="19" t="str">
        <f t="shared" ca="1" si="111"/>
        <v>=MAX(J308*J303,0)</v>
      </c>
    </row>
    <row r="314" spans="3:16" x14ac:dyDescent="0.2">
      <c r="C314" s="100"/>
      <c r="D314" s="92"/>
      <c r="I314" s="135"/>
      <c r="J314" s="135"/>
      <c r="K314" s="135"/>
      <c r="L314" s="135"/>
      <c r="M314" s="135"/>
      <c r="N314" s="135"/>
      <c r="O314" s="102"/>
      <c r="P314" s="19"/>
    </row>
    <row r="315" spans="3:16" x14ac:dyDescent="0.2">
      <c r="C315" s="100"/>
      <c r="D315" s="92"/>
      <c r="E315" s="91" t="s">
        <v>232</v>
      </c>
      <c r="G315" s="103" t="str">
        <f>Currency</f>
        <v>US$'000</v>
      </c>
      <c r="I315" s="135"/>
      <c r="J315" s="135">
        <f ca="1">MIN(J311,J313)</f>
        <v>13.93868531297899</v>
      </c>
      <c r="K315" s="135">
        <f t="shared" ref="K315:N315" ca="1" si="114">MIN(K311,K313)</f>
        <v>15.117456811453245</v>
      </c>
      <c r="L315" s="135">
        <f t="shared" ca="1" si="114"/>
        <v>16.081147173961956</v>
      </c>
      <c r="M315" s="135">
        <f t="shared" ca="1" si="114"/>
        <v>19.070848113695412</v>
      </c>
      <c r="N315" s="135">
        <f t="shared" ca="1" si="114"/>
        <v>28.987310886244213</v>
      </c>
      <c r="O315" s="102"/>
      <c r="P315" s="19" t="str">
        <f t="shared" ca="1" si="111"/>
        <v>=MIN(J311,J313)</v>
      </c>
    </row>
    <row r="316" spans="3:16" x14ac:dyDescent="0.2">
      <c r="C316" s="100"/>
      <c r="I316" s="135"/>
      <c r="J316" s="135"/>
      <c r="K316" s="135"/>
      <c r="L316" s="135"/>
      <c r="M316" s="135"/>
      <c r="N316" s="135"/>
      <c r="O316" s="102"/>
      <c r="P316" s="19"/>
    </row>
    <row r="317" spans="3:16" ht="15" x14ac:dyDescent="0.25">
      <c r="C317" s="100"/>
      <c r="D317" s="79" t="str">
        <f>D293</f>
        <v>Control Account</v>
      </c>
      <c r="I317" s="135"/>
      <c r="J317" s="135"/>
      <c r="K317" s="135"/>
      <c r="L317" s="135"/>
      <c r="M317" s="135"/>
      <c r="N317" s="135"/>
      <c r="O317" s="102"/>
      <c r="P317" s="19"/>
    </row>
    <row r="318" spans="3:16" x14ac:dyDescent="0.2">
      <c r="C318" s="100"/>
      <c r="D318" s="101"/>
      <c r="I318" s="135"/>
      <c r="J318" s="135"/>
      <c r="K318" s="135"/>
      <c r="L318" s="135"/>
      <c r="M318" s="135"/>
      <c r="N318" s="135"/>
      <c r="O318" s="102"/>
      <c r="P318" s="19"/>
    </row>
    <row r="319" spans="3:16" x14ac:dyDescent="0.2">
      <c r="C319" s="100"/>
      <c r="D319" s="92"/>
      <c r="E319" s="91" t="s">
        <v>233</v>
      </c>
      <c r="G319" s="103" t="str">
        <f>Currency</f>
        <v>US$'000</v>
      </c>
      <c r="I319" s="135"/>
      <c r="J319" s="135">
        <f>I322</f>
        <v>15</v>
      </c>
      <c r="K319" s="135">
        <f t="shared" ref="K319:N319" ca="1" si="115">J322</f>
        <v>13.93868531297899</v>
      </c>
      <c r="L319" s="135">
        <f t="shared" ca="1" si="115"/>
        <v>15.117456811453245</v>
      </c>
      <c r="M319" s="135">
        <f t="shared" ca="1" si="115"/>
        <v>16.081147173961956</v>
      </c>
      <c r="N319" s="135">
        <f t="shared" ca="1" si="115"/>
        <v>19.070848113695416</v>
      </c>
      <c r="O319" s="106" t="str">
        <f>Balance_Sheet</f>
        <v>BS</v>
      </c>
      <c r="P319" s="19" t="str">
        <f t="shared" ca="1" si="111"/>
        <v>=I322</v>
      </c>
    </row>
    <row r="320" spans="3:16" x14ac:dyDescent="0.2">
      <c r="C320" s="100"/>
      <c r="D320" s="92"/>
      <c r="E320" s="91" t="s">
        <v>232</v>
      </c>
      <c r="G320" s="103" t="str">
        <f>Currency</f>
        <v>US$'000</v>
      </c>
      <c r="I320" s="135"/>
      <c r="J320" s="135">
        <f ca="1">J315</f>
        <v>13.93868531297899</v>
      </c>
      <c r="K320" s="135">
        <f t="shared" ref="K320:N320" ca="1" si="116">K315</f>
        <v>15.117456811453245</v>
      </c>
      <c r="L320" s="135">
        <f t="shared" ca="1" si="116"/>
        <v>16.081147173961956</v>
      </c>
      <c r="M320" s="135">
        <f t="shared" ca="1" si="116"/>
        <v>19.070848113695412</v>
      </c>
      <c r="N320" s="135">
        <f t="shared" ca="1" si="116"/>
        <v>28.987310886244213</v>
      </c>
      <c r="O320" s="106" t="str">
        <f>Balance_Sheet</f>
        <v>BS</v>
      </c>
      <c r="P320" s="19" t="str">
        <f t="shared" ca="1" si="111"/>
        <v>=J315</v>
      </c>
    </row>
    <row r="321" spans="3:16" x14ac:dyDescent="0.2">
      <c r="C321" s="100"/>
      <c r="D321" s="92"/>
      <c r="E321" s="91" t="s">
        <v>234</v>
      </c>
      <c r="G321" s="103" t="str">
        <f>Currency</f>
        <v>US$'000</v>
      </c>
      <c r="I321" s="135"/>
      <c r="J321" s="135">
        <f>-J319</f>
        <v>-15</v>
      </c>
      <c r="K321" s="135">
        <f t="shared" ref="K321:N321" ca="1" si="117">-K319</f>
        <v>-13.93868531297899</v>
      </c>
      <c r="L321" s="135">
        <f t="shared" ca="1" si="117"/>
        <v>-15.117456811453245</v>
      </c>
      <c r="M321" s="135">
        <f t="shared" ca="1" si="117"/>
        <v>-16.081147173961956</v>
      </c>
      <c r="N321" s="135">
        <f t="shared" ca="1" si="117"/>
        <v>-19.070848113695416</v>
      </c>
      <c r="O321" s="106" t="str">
        <f>Cash_Flow_Statement</f>
        <v>CFS</v>
      </c>
      <c r="P321" s="19" t="str">
        <f t="shared" ca="1" si="111"/>
        <v>=-J319</v>
      </c>
    </row>
    <row r="322" spans="3:16" x14ac:dyDescent="0.2">
      <c r="C322" s="100"/>
      <c r="D322" s="92"/>
      <c r="E322" s="91" t="s">
        <v>235</v>
      </c>
      <c r="G322" s="103" t="str">
        <f>Currency</f>
        <v>US$'000</v>
      </c>
      <c r="I322" s="140">
        <f>'Opening Balance Sheet'!$I$29</f>
        <v>15</v>
      </c>
      <c r="J322" s="147">
        <f ca="1">SUM(J319:J321)</f>
        <v>13.93868531297899</v>
      </c>
      <c r="K322" s="147">
        <f t="shared" ref="K322:N322" ca="1" si="118">SUM(K319:K321)</f>
        <v>15.117456811453245</v>
      </c>
      <c r="L322" s="147">
        <f t="shared" ca="1" si="118"/>
        <v>16.081147173961956</v>
      </c>
      <c r="M322" s="147">
        <f t="shared" ca="1" si="118"/>
        <v>19.070848113695416</v>
      </c>
      <c r="N322" s="147">
        <f t="shared" ca="1" si="118"/>
        <v>28.987310886244213</v>
      </c>
      <c r="O322" s="106" t="str">
        <f>Balance_Sheet</f>
        <v>BS</v>
      </c>
      <c r="P322" s="19" t="str">
        <f ca="1">_xlfn.FORMULATEXT(J322)</f>
        <v>=SUM(J319:J321)</v>
      </c>
    </row>
    <row r="323" spans="3:16" x14ac:dyDescent="0.2">
      <c r="C323" s="100"/>
      <c r="O323" s="102"/>
    </row>
    <row r="324" spans="3:16" x14ac:dyDescent="0.2">
      <c r="C324" s="100"/>
      <c r="O324" s="102"/>
    </row>
    <row r="325" spans="3:16" ht="16.5" x14ac:dyDescent="0.25">
      <c r="C325" s="78" t="s">
        <v>236</v>
      </c>
      <c r="O325" s="102"/>
    </row>
    <row r="326" spans="3:16" x14ac:dyDescent="0.2">
      <c r="C326" s="91" t="s">
        <v>321</v>
      </c>
      <c r="O326" s="102"/>
    </row>
    <row r="327" spans="3:16" x14ac:dyDescent="0.2">
      <c r="C327" s="100"/>
      <c r="O327" s="102"/>
    </row>
    <row r="328" spans="3:16" ht="15" x14ac:dyDescent="0.25">
      <c r="C328" s="100"/>
      <c r="D328" s="79" t="str">
        <f>D317</f>
        <v>Control Account</v>
      </c>
      <c r="O328" s="102"/>
    </row>
    <row r="329" spans="3:16" x14ac:dyDescent="0.2">
      <c r="C329" s="100"/>
      <c r="D329" s="101"/>
      <c r="O329" s="102"/>
    </row>
    <row r="330" spans="3:16" x14ac:dyDescent="0.2">
      <c r="C330" s="100"/>
      <c r="D330" s="92"/>
      <c r="E330" s="91" t="s">
        <v>143</v>
      </c>
      <c r="G330" s="103" t="str">
        <f>Currency</f>
        <v>US$'000</v>
      </c>
      <c r="J330" s="95">
        <f>I333</f>
        <v>10</v>
      </c>
      <c r="K330" s="95">
        <f t="shared" ref="K330:N330" si="119">J333</f>
        <v>10</v>
      </c>
      <c r="L330" s="95">
        <f t="shared" si="119"/>
        <v>10</v>
      </c>
      <c r="M330" s="95">
        <f t="shared" si="119"/>
        <v>10</v>
      </c>
      <c r="N330" s="95">
        <f t="shared" si="119"/>
        <v>10</v>
      </c>
      <c r="O330" s="102"/>
    </row>
    <row r="331" spans="3:16" x14ac:dyDescent="0.2">
      <c r="C331" s="100"/>
      <c r="D331" s="92"/>
      <c r="E331" s="91" t="s">
        <v>140</v>
      </c>
      <c r="G331" s="103" t="str">
        <f>Currency</f>
        <v>US$'000</v>
      </c>
      <c r="J331" s="111"/>
      <c r="K331" s="111"/>
      <c r="L331" s="111"/>
      <c r="M331" s="111"/>
      <c r="N331" s="111"/>
      <c r="O331" s="102"/>
    </row>
    <row r="332" spans="3:16" x14ac:dyDescent="0.2">
      <c r="C332" s="100"/>
      <c r="D332" s="92"/>
      <c r="E332" s="91" t="s">
        <v>141</v>
      </c>
      <c r="G332" s="103" t="str">
        <f>Currency</f>
        <v>US$'000</v>
      </c>
      <c r="J332" s="121"/>
      <c r="K332" s="121"/>
      <c r="L332" s="121"/>
      <c r="M332" s="121"/>
      <c r="N332" s="121"/>
      <c r="O332" s="102"/>
    </row>
    <row r="333" spans="3:16" x14ac:dyDescent="0.2">
      <c r="C333" s="100"/>
      <c r="D333" s="92"/>
      <c r="E333" s="91" t="s">
        <v>142</v>
      </c>
      <c r="G333" s="103" t="str">
        <f>Currency</f>
        <v>US$'000</v>
      </c>
      <c r="I333" s="104">
        <f>'Opening Balance Sheet'!$I$16</f>
        <v>10</v>
      </c>
      <c r="J333" s="108">
        <f>SUM(J330:J332)</f>
        <v>10</v>
      </c>
      <c r="K333" s="108">
        <f t="shared" ref="K333:N333" si="120">SUM(K330:K332)</f>
        <v>10</v>
      </c>
      <c r="L333" s="108">
        <f t="shared" si="120"/>
        <v>10</v>
      </c>
      <c r="M333" s="108">
        <f t="shared" si="120"/>
        <v>10</v>
      </c>
      <c r="N333" s="108">
        <f t="shared" si="120"/>
        <v>10</v>
      </c>
      <c r="O333" s="102"/>
      <c r="P333" s="167" t="str">
        <f ca="1">_xlfn.FORMULATEXT(I333)</f>
        <v>='Opening Balance Sheet'!$I$16</v>
      </c>
    </row>
    <row r="334" spans="3:16" x14ac:dyDescent="0.2">
      <c r="C334" s="100"/>
      <c r="O334" s="102"/>
      <c r="P334" s="167"/>
    </row>
    <row r="335" spans="3:16" x14ac:dyDescent="0.2">
      <c r="C335" s="100"/>
      <c r="O335" s="102"/>
      <c r="P335" s="167"/>
    </row>
    <row r="336" spans="3:16" ht="16.5" x14ac:dyDescent="0.25">
      <c r="C336" s="78" t="s">
        <v>144</v>
      </c>
      <c r="O336" s="102"/>
      <c r="P336" s="167"/>
    </row>
    <row r="337" spans="3:16" x14ac:dyDescent="0.2">
      <c r="C337" s="91" t="str">
        <f>C326</f>
        <v>Assume no movement.</v>
      </c>
      <c r="O337" s="102"/>
      <c r="P337" s="167"/>
    </row>
    <row r="338" spans="3:16" x14ac:dyDescent="0.2">
      <c r="C338" s="100"/>
      <c r="O338" s="102"/>
      <c r="P338" s="167"/>
    </row>
    <row r="339" spans="3:16" ht="15" x14ac:dyDescent="0.25">
      <c r="C339" s="100"/>
      <c r="D339" s="79" t="str">
        <f>D328</f>
        <v>Control Account</v>
      </c>
      <c r="O339" s="102"/>
      <c r="P339" s="167"/>
    </row>
    <row r="340" spans="3:16" x14ac:dyDescent="0.2">
      <c r="C340" s="100"/>
      <c r="D340" s="101"/>
      <c r="O340" s="102"/>
      <c r="P340" s="167"/>
    </row>
    <row r="341" spans="3:16" x14ac:dyDescent="0.2">
      <c r="C341" s="100"/>
      <c r="D341" s="92"/>
      <c r="E341" s="91" t="s">
        <v>146</v>
      </c>
      <c r="G341" s="103" t="str">
        <f>Currency</f>
        <v>US$'000</v>
      </c>
      <c r="J341" s="95">
        <f>I344</f>
        <v>10</v>
      </c>
      <c r="K341" s="95">
        <f t="shared" ref="K341:N341" si="121">J344</f>
        <v>10</v>
      </c>
      <c r="L341" s="95">
        <f t="shared" si="121"/>
        <v>10</v>
      </c>
      <c r="M341" s="95">
        <f t="shared" si="121"/>
        <v>10</v>
      </c>
      <c r="N341" s="95">
        <f t="shared" si="121"/>
        <v>10</v>
      </c>
      <c r="O341" s="71"/>
      <c r="P341" s="167"/>
    </row>
    <row r="342" spans="3:16" x14ac:dyDescent="0.2">
      <c r="C342" s="100"/>
      <c r="D342" s="92"/>
      <c r="E342" s="91" t="s">
        <v>147</v>
      </c>
      <c r="G342" s="103" t="str">
        <f>Currency</f>
        <v>US$'000</v>
      </c>
      <c r="J342" s="111"/>
      <c r="K342" s="111"/>
      <c r="L342" s="111"/>
      <c r="M342" s="111"/>
      <c r="N342" s="111"/>
      <c r="O342" s="102"/>
      <c r="P342" s="167"/>
    </row>
    <row r="343" spans="3:16" x14ac:dyDescent="0.2">
      <c r="C343" s="100"/>
      <c r="D343" s="92"/>
      <c r="E343" s="91" t="s">
        <v>148</v>
      </c>
      <c r="G343" s="103" t="str">
        <f>Currency</f>
        <v>US$'000</v>
      </c>
      <c r="J343" s="121"/>
      <c r="K343" s="121"/>
      <c r="L343" s="121"/>
      <c r="M343" s="121"/>
      <c r="N343" s="121"/>
      <c r="O343" s="102"/>
      <c r="P343" s="167"/>
    </row>
    <row r="344" spans="3:16" x14ac:dyDescent="0.2">
      <c r="C344" s="100"/>
      <c r="D344" s="92"/>
      <c r="E344" s="91" t="s">
        <v>149</v>
      </c>
      <c r="G344" s="103" t="str">
        <f>Currency</f>
        <v>US$'000</v>
      </c>
      <c r="I344" s="104">
        <f>'Opening Balance Sheet'!$I$31</f>
        <v>10</v>
      </c>
      <c r="J344" s="108">
        <f>SUM(J341:J343)</f>
        <v>10</v>
      </c>
      <c r="K344" s="108">
        <f t="shared" ref="K344:N344" si="122">SUM(K341:K343)</f>
        <v>10</v>
      </c>
      <c r="L344" s="108">
        <f t="shared" si="122"/>
        <v>10</v>
      </c>
      <c r="M344" s="108">
        <f t="shared" si="122"/>
        <v>10</v>
      </c>
      <c r="N344" s="108">
        <f t="shared" si="122"/>
        <v>10</v>
      </c>
      <c r="O344" s="102"/>
      <c r="P344" s="167" t="str">
        <f t="shared" ref="P344" ca="1" si="123">_xlfn.FORMULATEXT(I344)</f>
        <v>='Opening Balance Sheet'!$I$31</v>
      </c>
    </row>
    <row r="345" spans="3:16" x14ac:dyDescent="0.2">
      <c r="C345" s="100"/>
      <c r="O345" s="102"/>
    </row>
    <row r="346" spans="3:16" x14ac:dyDescent="0.2">
      <c r="C346" s="100"/>
      <c r="O346" s="102"/>
    </row>
    <row r="347" spans="3:16" x14ac:dyDescent="0.2">
      <c r="C347" s="92"/>
      <c r="D347" s="92"/>
      <c r="E347" s="92"/>
      <c r="F347" s="92"/>
    </row>
    <row r="348" spans="3:16" x14ac:dyDescent="0.2">
      <c r="C348" s="92"/>
      <c r="D348" s="92"/>
      <c r="E348" s="92"/>
      <c r="F348" s="92"/>
    </row>
    <row r="349" spans="3:16" x14ac:dyDescent="0.2">
      <c r="C349" s="92"/>
      <c r="D349" s="92"/>
      <c r="E349" s="92"/>
      <c r="F349" s="92"/>
    </row>
    <row r="350" spans="3:16" x14ac:dyDescent="0.2">
      <c r="C350" s="92"/>
      <c r="D350" s="92"/>
      <c r="E350" s="92"/>
      <c r="F350" s="92"/>
    </row>
    <row r="351" spans="3:16" x14ac:dyDescent="0.2">
      <c r="C351" s="92"/>
      <c r="D351" s="92"/>
      <c r="E351" s="92"/>
      <c r="F351" s="92"/>
    </row>
    <row r="352" spans="3:16" x14ac:dyDescent="0.2">
      <c r="C352" s="92"/>
      <c r="D352" s="92"/>
      <c r="E352" s="92"/>
      <c r="F352" s="92"/>
    </row>
    <row r="353" spans="3:6" x14ac:dyDescent="0.2">
      <c r="C353" s="92"/>
      <c r="D353" s="92"/>
      <c r="E353" s="92"/>
      <c r="F353" s="92"/>
    </row>
    <row r="354" spans="3:6" x14ac:dyDescent="0.2">
      <c r="C354" s="92"/>
      <c r="D354" s="92"/>
      <c r="E354" s="92"/>
      <c r="F354" s="92"/>
    </row>
    <row r="355" spans="3:6" x14ac:dyDescent="0.2">
      <c r="C355" s="92"/>
      <c r="D355" s="92"/>
      <c r="E355" s="92"/>
      <c r="F355" s="92"/>
    </row>
    <row r="356" spans="3:6" x14ac:dyDescent="0.2">
      <c r="C356" s="92"/>
      <c r="D356" s="92"/>
      <c r="E356" s="92"/>
      <c r="F356" s="92"/>
    </row>
    <row r="357" spans="3:6" x14ac:dyDescent="0.2">
      <c r="C357" s="92"/>
      <c r="D357" s="92"/>
      <c r="E357" s="92"/>
      <c r="F357" s="92"/>
    </row>
    <row r="358" spans="3:6" x14ac:dyDescent="0.2">
      <c r="C358" s="92"/>
      <c r="D358" s="92"/>
      <c r="E358" s="92"/>
      <c r="F358" s="92"/>
    </row>
    <row r="359" spans="3:6" x14ac:dyDescent="0.2">
      <c r="C359" s="92"/>
      <c r="D359" s="92"/>
      <c r="E359" s="92"/>
      <c r="F359" s="92"/>
    </row>
    <row r="360" spans="3:6" x14ac:dyDescent="0.2">
      <c r="C360" s="92"/>
      <c r="D360" s="92"/>
      <c r="E360" s="92"/>
      <c r="F360" s="92"/>
    </row>
    <row r="361" spans="3:6" x14ac:dyDescent="0.2">
      <c r="C361" s="92"/>
      <c r="D361" s="92"/>
      <c r="E361" s="92"/>
      <c r="F361" s="92"/>
    </row>
    <row r="362" spans="3:6" x14ac:dyDescent="0.2">
      <c r="C362" s="92"/>
      <c r="D362" s="92"/>
      <c r="E362" s="92"/>
      <c r="F362" s="92"/>
    </row>
    <row r="363" spans="3:6" x14ac:dyDescent="0.2">
      <c r="C363" s="92"/>
      <c r="D363" s="92"/>
      <c r="E363" s="92"/>
      <c r="F363" s="92"/>
    </row>
    <row r="364" spans="3:6" x14ac:dyDescent="0.2">
      <c r="C364" s="92"/>
      <c r="D364" s="92"/>
      <c r="E364" s="92"/>
      <c r="F364" s="92"/>
    </row>
  </sheetData>
  <conditionalFormatting sqref="G4">
    <cfRule type="cellIs" dxfId="21" priority="8" operator="notEqual">
      <formula>0</formula>
    </cfRule>
  </conditionalFormatting>
  <conditionalFormatting sqref="J69:N69">
    <cfRule type="cellIs" dxfId="20" priority="3" operator="equal">
      <formula>1</formula>
    </cfRule>
  </conditionalFormatting>
  <conditionalFormatting sqref="K71:N71">
    <cfRule type="expression" dxfId="19" priority="2">
      <formula>K$69=1</formula>
    </cfRule>
  </conditionalFormatting>
  <conditionalFormatting sqref="K72:N72">
    <cfRule type="expression" dxfId="18" priority="1">
      <formula>K$69=0</formula>
    </cfRule>
  </conditionalFormatting>
  <hyperlinks>
    <hyperlink ref="A3:E3" location="HL_Navigator" tooltip="Go to Navigator (Table of Contents)" display="Navigator" xr:uid="{00000000-0004-0000-0500-000000000000}"/>
    <hyperlink ref="A3" location="HL_Navigator" display="Navigator" xr:uid="{00000000-0004-0000-0500-000001000000}"/>
    <hyperlink ref="G4" location="Overall_Error_Check" tooltip="Go to Overall Error Check" display="Overall_Error_Check" xr:uid="{00000000-0004-0000-0500-000002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outlinePr summaryBelow="0" summaryRight="0"/>
  </sheetPr>
  <dimension ref="A1:J57"/>
  <sheetViews>
    <sheetView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4" width="3.7109375" style="91" customWidth="1"/>
    <col min="5" max="5" width="19.140625" style="91" customWidth="1"/>
    <col min="6" max="6" width="5.7109375" style="91" customWidth="1"/>
    <col min="7" max="7" width="9.140625" style="92"/>
    <col min="8" max="8" width="9.140625" style="92" customWidth="1"/>
    <col min="9" max="16384" width="9.140625" style="92"/>
  </cols>
  <sheetData>
    <row r="1" spans="1:10" ht="20.25" x14ac:dyDescent="0.3">
      <c r="A1" s="46" t="str">
        <f ca="1">IFERROR(RIGHT(CELL("filename",A1),LEN(CELL("filename",A1))-FIND("]",CELL("filename",A1))),"")</f>
        <v>Opening Balance Sheet</v>
      </c>
      <c r="H1" s="183"/>
      <c r="I1" s="183"/>
    </row>
    <row r="2" spans="1:10" ht="18" x14ac:dyDescent="0.25">
      <c r="A2" s="47" t="str">
        <f ca="1">Model_Name</f>
        <v>Chapter 7.1 - SP Case Study Model vLB1.01.xlsx</v>
      </c>
    </row>
    <row r="3" spans="1:10" x14ac:dyDescent="0.2">
      <c r="A3" s="176" t="s">
        <v>1</v>
      </c>
      <c r="B3" s="94"/>
      <c r="C3" s="94"/>
      <c r="D3" s="94"/>
      <c r="E3" s="94"/>
      <c r="I3" s="103"/>
    </row>
    <row r="4" spans="1:10" x14ac:dyDescent="0.2">
      <c r="A4" s="91" t="s">
        <v>2</v>
      </c>
      <c r="G4" s="123">
        <f ca="1">Overall_Error_Check</f>
        <v>0</v>
      </c>
      <c r="I4" s="139">
        <f>Model_Start_Date-1</f>
        <v>44012</v>
      </c>
      <c r="J4" s="103"/>
    </row>
    <row r="5" spans="1:10" collapsed="1" x14ac:dyDescent="0.2"/>
    <row r="6" spans="1:10" hidden="1" outlineLevel="1" x14ac:dyDescent="0.2"/>
    <row r="7" spans="1:10" hidden="1" outlineLevel="1" x14ac:dyDescent="0.2"/>
    <row r="8" spans="1:10" hidden="1" outlineLevel="1" x14ac:dyDescent="0.2"/>
    <row r="9" spans="1:10" hidden="1" outlineLevel="1" x14ac:dyDescent="0.2"/>
    <row r="10" spans="1:10" hidden="1" outlineLevel="1" x14ac:dyDescent="0.2"/>
    <row r="11" spans="1:10" ht="16.5" thickBot="1" x14ac:dyDescent="0.3">
      <c r="B11" s="48">
        <f>MAX($B5:$B$5)+1</f>
        <v>1</v>
      </c>
      <c r="C11" s="3" t="str">
        <f ca="1">A1</f>
        <v>Opening Balance Sheet</v>
      </c>
      <c r="D11" s="3"/>
      <c r="E11" s="3"/>
      <c r="F11" s="3"/>
      <c r="G11" s="3"/>
      <c r="H11" s="3"/>
      <c r="I11" s="3"/>
      <c r="J11" s="3"/>
    </row>
    <row r="12" spans="1:10" ht="12.75" thickTop="1" x14ac:dyDescent="0.2">
      <c r="C12" s="101"/>
      <c r="D12" s="80"/>
    </row>
    <row r="13" spans="1:10" x14ac:dyDescent="0.2">
      <c r="C13" s="101" t="s">
        <v>238</v>
      </c>
    </row>
    <row r="14" spans="1:10" x14ac:dyDescent="0.2">
      <c r="C14" s="101"/>
      <c r="D14" s="91" t="s">
        <v>239</v>
      </c>
      <c r="G14" s="103" t="str">
        <f>Currency</f>
        <v>US$'000</v>
      </c>
      <c r="I14" s="124">
        <v>250</v>
      </c>
    </row>
    <row r="15" spans="1:10" x14ac:dyDescent="0.2">
      <c r="C15" s="101"/>
      <c r="D15" s="91" t="s">
        <v>240</v>
      </c>
      <c r="G15" s="103" t="str">
        <f>Currency</f>
        <v>US$'000</v>
      </c>
      <c r="I15" s="124">
        <v>50</v>
      </c>
    </row>
    <row r="16" spans="1:10" x14ac:dyDescent="0.2">
      <c r="C16" s="101"/>
      <c r="D16" s="91" t="s">
        <v>236</v>
      </c>
      <c r="G16" s="103" t="str">
        <f>Currency</f>
        <v>US$'000</v>
      </c>
      <c r="I16" s="124">
        <v>10</v>
      </c>
    </row>
    <row r="17" spans="3:9" x14ac:dyDescent="0.2">
      <c r="C17" s="101"/>
      <c r="D17" s="80" t="s">
        <v>241</v>
      </c>
      <c r="G17" s="103" t="str">
        <f>Currency</f>
        <v>US$'000</v>
      </c>
      <c r="I17" s="72">
        <f>SUM(I14:I16)</f>
        <v>310</v>
      </c>
    </row>
    <row r="18" spans="3:9" x14ac:dyDescent="0.2">
      <c r="C18" s="101"/>
      <c r="D18" s="80"/>
    </row>
    <row r="19" spans="3:9" x14ac:dyDescent="0.2">
      <c r="C19" s="101" t="s">
        <v>242</v>
      </c>
    </row>
    <row r="20" spans="3:9" x14ac:dyDescent="0.2">
      <c r="C20" s="101"/>
      <c r="D20" s="91" t="s">
        <v>243</v>
      </c>
      <c r="G20" s="103" t="str">
        <f>Currency</f>
        <v>US$'000</v>
      </c>
      <c r="I20" s="124">
        <v>450</v>
      </c>
    </row>
    <row r="21" spans="3:9" x14ac:dyDescent="0.2">
      <c r="C21" s="101"/>
      <c r="D21" s="91" t="s">
        <v>244</v>
      </c>
      <c r="G21" s="103" t="str">
        <f>Currency</f>
        <v>US$'000</v>
      </c>
      <c r="I21" s="124">
        <v>75</v>
      </c>
    </row>
    <row r="22" spans="3:9" x14ac:dyDescent="0.2">
      <c r="C22" s="101"/>
      <c r="D22" s="91" t="s">
        <v>245</v>
      </c>
      <c r="G22" s="103" t="str">
        <f>Currency</f>
        <v>US$'000</v>
      </c>
      <c r="I22" s="72">
        <f>SUM(I20:I21)</f>
        <v>525</v>
      </c>
    </row>
    <row r="23" spans="3:9" x14ac:dyDescent="0.2">
      <c r="C23" s="101"/>
    </row>
    <row r="24" spans="3:9" x14ac:dyDescent="0.2">
      <c r="C24" s="101" t="s">
        <v>246</v>
      </c>
      <c r="G24" s="103" t="str">
        <f>Currency</f>
        <v>US$'000</v>
      </c>
      <c r="I24" s="72">
        <f>I17+I22</f>
        <v>835</v>
      </c>
    </row>
    <row r="25" spans="3:9" x14ac:dyDescent="0.2">
      <c r="C25" s="101"/>
    </row>
    <row r="26" spans="3:9" x14ac:dyDescent="0.2">
      <c r="C26" s="101" t="s">
        <v>247</v>
      </c>
    </row>
    <row r="27" spans="3:9" x14ac:dyDescent="0.2">
      <c r="C27" s="101"/>
      <c r="D27" s="91" t="s">
        <v>248</v>
      </c>
      <c r="G27" s="103" t="str">
        <f t="shared" ref="G27:G32" si="0">Currency</f>
        <v>US$'000</v>
      </c>
      <c r="I27" s="124">
        <v>30</v>
      </c>
    </row>
    <row r="28" spans="3:9" x14ac:dyDescent="0.2">
      <c r="C28" s="101"/>
      <c r="D28" s="91" t="s">
        <v>249</v>
      </c>
      <c r="G28" s="103" t="str">
        <f t="shared" si="0"/>
        <v>US$'000</v>
      </c>
      <c r="I28" s="124">
        <v>20</v>
      </c>
    </row>
    <row r="29" spans="3:9" x14ac:dyDescent="0.2">
      <c r="C29" s="101"/>
      <c r="D29" s="91" t="s">
        <v>250</v>
      </c>
      <c r="G29" s="103" t="str">
        <f t="shared" si="0"/>
        <v>US$'000</v>
      </c>
      <c r="I29" s="124">
        <v>15</v>
      </c>
    </row>
    <row r="30" spans="3:9" x14ac:dyDescent="0.2">
      <c r="C30" s="101"/>
      <c r="D30" s="91" t="s">
        <v>251</v>
      </c>
      <c r="G30" s="103" t="str">
        <f t="shared" si="0"/>
        <v>US$'000</v>
      </c>
      <c r="I30" s="124">
        <v>40</v>
      </c>
    </row>
    <row r="31" spans="3:9" x14ac:dyDescent="0.2">
      <c r="C31" s="101"/>
      <c r="D31" s="91" t="s">
        <v>349</v>
      </c>
      <c r="G31" s="103" t="str">
        <f t="shared" si="0"/>
        <v>US$'000</v>
      </c>
      <c r="I31" s="124">
        <v>10</v>
      </c>
    </row>
    <row r="32" spans="3:9" x14ac:dyDescent="0.2">
      <c r="C32" s="101"/>
      <c r="D32" s="80" t="s">
        <v>350</v>
      </c>
      <c r="G32" s="103" t="str">
        <f t="shared" si="0"/>
        <v>US$'000</v>
      </c>
      <c r="I32" s="72">
        <f>SUM(I27:I31)</f>
        <v>115</v>
      </c>
    </row>
    <row r="33" spans="3:9" x14ac:dyDescent="0.2">
      <c r="C33" s="101"/>
    </row>
    <row r="34" spans="3:9" x14ac:dyDescent="0.2">
      <c r="C34" s="101" t="s">
        <v>252</v>
      </c>
    </row>
    <row r="35" spans="3:9" x14ac:dyDescent="0.2">
      <c r="C35" s="101"/>
      <c r="D35" s="91" t="s">
        <v>116</v>
      </c>
      <c r="G35" s="103" t="str">
        <f>Currency</f>
        <v>US$'000</v>
      </c>
      <c r="I35" s="166">
        <v>150</v>
      </c>
    </row>
    <row r="36" spans="3:9" x14ac:dyDescent="0.2">
      <c r="C36" s="101"/>
      <c r="D36" s="91" t="s">
        <v>253</v>
      </c>
      <c r="G36" s="103" t="str">
        <f>Currency</f>
        <v>US$'000</v>
      </c>
      <c r="I36" s="124">
        <v>25</v>
      </c>
    </row>
    <row r="37" spans="3:9" x14ac:dyDescent="0.2">
      <c r="C37" s="101"/>
      <c r="D37" s="80" t="s">
        <v>254</v>
      </c>
      <c r="G37" s="103" t="str">
        <f>Currency</f>
        <v>US$'000</v>
      </c>
      <c r="I37" s="72">
        <f>SUM(I35:I36)</f>
        <v>175</v>
      </c>
    </row>
    <row r="38" spans="3:9" x14ac:dyDescent="0.2">
      <c r="C38" s="101"/>
    </row>
    <row r="39" spans="3:9" x14ac:dyDescent="0.2">
      <c r="C39" s="101" t="s">
        <v>255</v>
      </c>
      <c r="G39" s="103" t="str">
        <f>Currency</f>
        <v>US$'000</v>
      </c>
      <c r="I39" s="72">
        <f>I32+I37</f>
        <v>290</v>
      </c>
    </row>
    <row r="40" spans="3:9" x14ac:dyDescent="0.2">
      <c r="C40" s="101"/>
    </row>
    <row r="41" spans="3:9" ht="12.75" thickBot="1" x14ac:dyDescent="0.25">
      <c r="C41" s="101" t="s">
        <v>256</v>
      </c>
      <c r="G41" s="103" t="str">
        <f>Currency</f>
        <v>US$'000</v>
      </c>
      <c r="I41" s="150">
        <f>I24-I39</f>
        <v>545</v>
      </c>
    </row>
    <row r="42" spans="3:9" ht="12.75" thickTop="1" x14ac:dyDescent="0.2">
      <c r="C42" s="101"/>
    </row>
    <row r="43" spans="3:9" x14ac:dyDescent="0.2">
      <c r="C43" s="101"/>
    </row>
    <row r="44" spans="3:9" x14ac:dyDescent="0.2">
      <c r="C44" s="101" t="s">
        <v>257</v>
      </c>
    </row>
    <row r="45" spans="3:9" x14ac:dyDescent="0.2">
      <c r="C45" s="101"/>
      <c r="D45" s="155" t="s">
        <v>258</v>
      </c>
      <c r="G45" s="103" t="str">
        <f>Currency</f>
        <v>US$'000</v>
      </c>
      <c r="I45" s="124">
        <v>300</v>
      </c>
    </row>
    <row r="46" spans="3:9" outlineLevel="1" x14ac:dyDescent="0.2">
      <c r="C46" s="101"/>
      <c r="D46" s="155"/>
      <c r="G46" s="103"/>
    </row>
    <row r="47" spans="3:9" x14ac:dyDescent="0.2">
      <c r="C47" s="101"/>
      <c r="E47" s="91" t="s">
        <v>139</v>
      </c>
      <c r="G47" s="103" t="str">
        <f>Currency</f>
        <v>US$'000</v>
      </c>
      <c r="I47" s="124">
        <v>0</v>
      </c>
    </row>
    <row r="48" spans="3:9" x14ac:dyDescent="0.2">
      <c r="C48" s="101"/>
      <c r="E48" s="91" t="s">
        <v>259</v>
      </c>
      <c r="G48" s="103" t="str">
        <f>Currency</f>
        <v>US$'000</v>
      </c>
      <c r="I48" s="124">
        <v>0</v>
      </c>
    </row>
    <row r="49" spans="3:9" x14ac:dyDescent="0.2">
      <c r="C49" s="101"/>
      <c r="D49" s="91" t="s">
        <v>229</v>
      </c>
      <c r="G49" s="103" t="str">
        <f>Currency</f>
        <v>US$'000</v>
      </c>
      <c r="I49" s="72">
        <f>I41-I45-I47-I48</f>
        <v>245</v>
      </c>
    </row>
    <row r="50" spans="3:9" ht="12.75" thickBot="1" x14ac:dyDescent="0.25">
      <c r="C50" s="80" t="s">
        <v>260</v>
      </c>
      <c r="D50" s="92"/>
      <c r="G50" s="103" t="str">
        <f>Currency</f>
        <v>US$'000</v>
      </c>
      <c r="I50" s="150">
        <f>SUM(I45,I47:I49)</f>
        <v>545</v>
      </c>
    </row>
    <row r="51" spans="3:9" ht="12.75" thickTop="1" x14ac:dyDescent="0.2">
      <c r="C51" s="101"/>
    </row>
    <row r="52" spans="3:9" x14ac:dyDescent="0.2">
      <c r="C52" s="101"/>
    </row>
    <row r="53" spans="3:9" x14ac:dyDescent="0.2">
      <c r="C53" s="101" t="s">
        <v>261</v>
      </c>
    </row>
    <row r="54" spans="3:9" x14ac:dyDescent="0.2">
      <c r="C54" s="101"/>
    </row>
    <row r="55" spans="3:9" x14ac:dyDescent="0.2">
      <c r="C55" s="101"/>
      <c r="D55" s="91" t="s">
        <v>262</v>
      </c>
      <c r="G55" s="103" t="str">
        <f>Boolean</f>
        <v>[1,0]</v>
      </c>
      <c r="I55" s="96">
        <f>IF(ISERROR(I41-I50),1,0)</f>
        <v>0</v>
      </c>
    </row>
    <row r="56" spans="3:9" x14ac:dyDescent="0.2">
      <c r="C56" s="101"/>
      <c r="D56" s="91" t="s">
        <v>263</v>
      </c>
      <c r="G56" s="103" t="str">
        <f>Boolean</f>
        <v>[1,0]</v>
      </c>
      <c r="I56" s="96">
        <f>IF(I55&lt;&gt;0,0,(ROUND(I41-I50,Rounding_Accuracy)&lt;&gt;0)*1)</f>
        <v>0</v>
      </c>
    </row>
    <row r="57" spans="3:9" x14ac:dyDescent="0.2">
      <c r="D57" s="91" t="s">
        <v>269</v>
      </c>
      <c r="G57" s="103" t="str">
        <f>Boolean</f>
        <v>[1,0]</v>
      </c>
      <c r="I57" s="96">
        <f>IF(AND(I55=0,I56=0),(I41&lt;0)*1,0)</f>
        <v>0</v>
      </c>
    </row>
  </sheetData>
  <mergeCells count="1">
    <mergeCell ref="H1:I1"/>
  </mergeCells>
  <conditionalFormatting sqref="G4">
    <cfRule type="cellIs" dxfId="17" priority="4" operator="notEqual">
      <formula>0</formula>
    </cfRule>
  </conditionalFormatting>
  <conditionalFormatting sqref="I55:I57">
    <cfRule type="cellIs" dxfId="16" priority="1" operator="notEqual">
      <formula>0</formula>
    </cfRule>
  </conditionalFormatting>
  <hyperlinks>
    <hyperlink ref="A3:E3" location="HL_Navigator" tooltip="Go to Navigator (Table of Contents)" display="Navigator" xr:uid="{00000000-0004-0000-0600-000000000000}"/>
    <hyperlink ref="A3" location="HL_Navigator" display="Navigator" xr:uid="{00000000-0004-0000-0600-000001000000}"/>
    <hyperlink ref="G4" location="Overall_Error_Check" tooltip="Go to Overall Error Check" display="Overall_Error_Check" xr:uid="{00000000-0004-0000-0600-000002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outlinePr summaryBelow="0" summaryRight="0"/>
  </sheetPr>
  <dimension ref="A1:O28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3" width="3.7109375" style="73" customWidth="1"/>
    <col min="4" max="4" width="27.140625" style="73" customWidth="1"/>
    <col min="5" max="6" width="1.7109375" style="73" customWidth="1"/>
    <col min="8" max="9" width="1.7109375" customWidth="1"/>
  </cols>
  <sheetData>
    <row r="1" spans="1:15" s="61" customFormat="1" ht="20.25" x14ac:dyDescent="0.3">
      <c r="A1" s="46" t="str">
        <f ca="1">IFERROR(RIGHT(CELL("filename",A1),LEN(CELL("filename",A1))-FIND("]",CELL("filename",A1))),"")</f>
        <v>Income Statement</v>
      </c>
      <c r="B1" s="73"/>
      <c r="C1" s="73"/>
      <c r="D1" s="73"/>
      <c r="E1" s="73"/>
      <c r="F1" s="73"/>
    </row>
    <row r="2" spans="1:15" s="61" customFormat="1" ht="18" x14ac:dyDescent="0.25">
      <c r="A2" s="74" t="str">
        <f ca="1">Model_Name</f>
        <v>Chapter 7.1 - SP Case Study Model vLB1.01.xlsx</v>
      </c>
      <c r="B2" s="73"/>
      <c r="C2" s="73"/>
      <c r="D2" s="73"/>
      <c r="E2" s="73"/>
      <c r="F2" s="73"/>
    </row>
    <row r="3" spans="1:15" s="61" customFormat="1" x14ac:dyDescent="0.2">
      <c r="A3" s="176" t="s">
        <v>1</v>
      </c>
      <c r="B3" s="75"/>
      <c r="C3" s="75"/>
      <c r="D3" s="75"/>
      <c r="E3" s="75"/>
      <c r="F3" s="73"/>
    </row>
    <row r="4" spans="1:15" s="85" customFormat="1" ht="14.25" x14ac:dyDescent="0.2">
      <c r="A4" s="73" t="s">
        <v>2</v>
      </c>
      <c r="B4" s="75"/>
      <c r="C4" s="75"/>
      <c r="D4" s="75"/>
      <c r="F4" s="73"/>
      <c r="G4" s="65">
        <f ca="1">Overall_Error_Check</f>
        <v>0</v>
      </c>
    </row>
    <row r="5" spans="1:15" s="61" customFormat="1" collapsed="1" x14ac:dyDescent="0.2">
      <c r="A5" s="75"/>
      <c r="B5" s="75"/>
      <c r="C5" s="73"/>
      <c r="D5" s="75"/>
      <c r="E5" s="75"/>
      <c r="F5" s="73"/>
      <c r="G5" s="62"/>
      <c r="H5" s="62"/>
      <c r="J5" s="40">
        <f>Timing!J5</f>
        <v>44377</v>
      </c>
      <c r="K5" s="40">
        <f>Timing!K5</f>
        <v>44742</v>
      </c>
      <c r="L5" s="40">
        <f>Timing!L5</f>
        <v>45107</v>
      </c>
      <c r="M5" s="40">
        <f>Timing!M5</f>
        <v>45473</v>
      </c>
      <c r="N5" s="40">
        <f>Timing!N5</f>
        <v>45838</v>
      </c>
    </row>
    <row r="6" spans="1:15" s="61" customFormat="1" hidden="1" outlineLevel="1" x14ac:dyDescent="0.2">
      <c r="A6" s="75"/>
      <c r="B6" s="75"/>
      <c r="C6" s="73" t="str">
        <f>Timing!C6</f>
        <v>Start Date</v>
      </c>
      <c r="D6" s="75"/>
      <c r="E6" s="75"/>
      <c r="F6" s="73"/>
      <c r="G6" s="62"/>
      <c r="H6" s="62"/>
      <c r="J6" s="39">
        <f>Timing!J6</f>
        <v>44013</v>
      </c>
      <c r="K6" s="39">
        <f>Timing!K6</f>
        <v>44378</v>
      </c>
      <c r="L6" s="39">
        <f>Timing!L6</f>
        <v>44743</v>
      </c>
      <c r="M6" s="39">
        <f>Timing!M6</f>
        <v>45108</v>
      </c>
      <c r="N6" s="39">
        <f>Timing!N6</f>
        <v>45474</v>
      </c>
    </row>
    <row r="7" spans="1:15" s="61" customFormat="1" hidden="1" outlineLevel="1" x14ac:dyDescent="0.2">
      <c r="A7" s="75"/>
      <c r="B7" s="75"/>
      <c r="C7" s="73" t="str">
        <f>Timing!C7</f>
        <v>End Date</v>
      </c>
      <c r="D7" s="75"/>
      <c r="E7" s="75"/>
      <c r="F7" s="73"/>
      <c r="G7" s="62"/>
      <c r="H7" s="62"/>
      <c r="J7" s="39">
        <f>Timing!J7</f>
        <v>44377</v>
      </c>
      <c r="K7" s="39">
        <f>Timing!K7</f>
        <v>44742</v>
      </c>
      <c r="L7" s="39">
        <f>Timing!L7</f>
        <v>45107</v>
      </c>
      <c r="M7" s="39">
        <f>Timing!M7</f>
        <v>45473</v>
      </c>
      <c r="N7" s="39">
        <f>Timing!N7</f>
        <v>45838</v>
      </c>
    </row>
    <row r="8" spans="1:15" s="85" customFormat="1" hidden="1" outlineLevel="1" x14ac:dyDescent="0.2">
      <c r="A8" s="75"/>
      <c r="B8" s="75"/>
      <c r="C8" s="73" t="str">
        <f>Timing!C8</f>
        <v>Number of Days</v>
      </c>
      <c r="D8" s="75"/>
      <c r="E8" s="75"/>
      <c r="F8" s="73"/>
      <c r="G8" s="84"/>
      <c r="H8" s="84"/>
      <c r="J8" s="35">
        <f>Timing!J8</f>
        <v>365</v>
      </c>
      <c r="K8" s="35">
        <f>Timing!K8</f>
        <v>365</v>
      </c>
      <c r="L8" s="35">
        <f>Timing!L8</f>
        <v>365</v>
      </c>
      <c r="M8" s="35">
        <f>Timing!M8</f>
        <v>366</v>
      </c>
      <c r="N8" s="35">
        <f>Timing!N8</f>
        <v>365</v>
      </c>
    </row>
    <row r="9" spans="1:15" s="61" customFormat="1" hidden="1" outlineLevel="1" x14ac:dyDescent="0.2">
      <c r="A9" s="73"/>
      <c r="B9" s="73"/>
      <c r="C9" s="73" t="str">
        <f>Timing!C9</f>
        <v>Counter</v>
      </c>
      <c r="D9" s="73"/>
      <c r="J9" s="35">
        <f>Timing!J9</f>
        <v>1</v>
      </c>
      <c r="K9" s="35">
        <f>Timing!K9</f>
        <v>2</v>
      </c>
      <c r="L9" s="35">
        <f>Timing!L9</f>
        <v>3</v>
      </c>
      <c r="M9" s="35">
        <f>Timing!M9</f>
        <v>4</v>
      </c>
      <c r="N9" s="35">
        <f>Timing!N9</f>
        <v>5</v>
      </c>
    </row>
    <row r="10" spans="1:15" s="61" customFormat="1" x14ac:dyDescent="0.2">
      <c r="A10" s="73"/>
      <c r="B10" s="73"/>
      <c r="C10" s="73"/>
      <c r="D10" s="73"/>
      <c r="E10" s="73"/>
      <c r="F10" s="73"/>
    </row>
    <row r="11" spans="1:15" s="61" customFormat="1" ht="16.5" thickBot="1" x14ac:dyDescent="0.3">
      <c r="A11" s="73"/>
      <c r="B11" s="48">
        <f>MAX($B$7:$B10)+1</f>
        <v>1</v>
      </c>
      <c r="C11" s="3" t="str">
        <f ca="1">A1</f>
        <v>Income Statement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61" customFormat="1" ht="12.75" thickTop="1" x14ac:dyDescent="0.2">
      <c r="A12" s="73"/>
      <c r="B12" s="73"/>
      <c r="C12" s="73"/>
      <c r="D12" s="73"/>
      <c r="E12" s="73"/>
      <c r="F12" s="73"/>
    </row>
    <row r="13" spans="1:15" x14ac:dyDescent="0.2">
      <c r="D13" s="73" t="s">
        <v>113</v>
      </c>
      <c r="G13" s="64" t="str">
        <f>Currency</f>
        <v>US$'000</v>
      </c>
      <c r="H13" s="64"/>
      <c r="J13" s="36">
        <f>Calculations!J32</f>
        <v>400</v>
      </c>
      <c r="K13" s="36">
        <f>Calculations!K32</f>
        <v>448.00000000000006</v>
      </c>
      <c r="L13" s="36">
        <f>Calculations!L32</f>
        <v>492.80000000000013</v>
      </c>
      <c r="M13" s="36">
        <f>Calculations!M32</f>
        <v>532.22400000000016</v>
      </c>
      <c r="N13" s="36">
        <f>Calculations!N32</f>
        <v>558.83520000000021</v>
      </c>
    </row>
    <row r="14" spans="1:15" x14ac:dyDescent="0.2">
      <c r="D14" s="73" t="s">
        <v>114</v>
      </c>
      <c r="G14" s="64" t="str">
        <f>Currency</f>
        <v>US$'000</v>
      </c>
      <c r="H14" s="64"/>
      <c r="J14" s="36">
        <f>-Calculations!J58</f>
        <v>-120</v>
      </c>
      <c r="K14" s="36">
        <f>-Calculations!K58</f>
        <v>-134.40000000000003</v>
      </c>
      <c r="L14" s="36">
        <f>-Calculations!L58</f>
        <v>-147.84000000000003</v>
      </c>
      <c r="M14" s="36">
        <f>-Calculations!M58</f>
        <v>-159.66720000000009</v>
      </c>
      <c r="N14" s="36">
        <f>-Calculations!N58</f>
        <v>-167.6505600000001</v>
      </c>
    </row>
    <row r="15" spans="1:15" x14ac:dyDescent="0.2">
      <c r="D15" s="80" t="s">
        <v>168</v>
      </c>
      <c r="G15" s="64" t="str">
        <f>Currency</f>
        <v>US$'000</v>
      </c>
      <c r="H15" s="64"/>
      <c r="J15" s="151">
        <f>SUM(J13:J14)</f>
        <v>280</v>
      </c>
      <c r="K15" s="151">
        <f t="shared" ref="K15:N15" si="0">SUM(K13:K14)</f>
        <v>313.60000000000002</v>
      </c>
      <c r="L15" s="151">
        <f t="shared" si="0"/>
        <v>344.96000000000009</v>
      </c>
      <c r="M15" s="151">
        <f t="shared" si="0"/>
        <v>372.55680000000007</v>
      </c>
      <c r="N15" s="151">
        <f t="shared" si="0"/>
        <v>391.18464000000012</v>
      </c>
    </row>
    <row r="16" spans="1:15" x14ac:dyDescent="0.2">
      <c r="H16" s="61"/>
      <c r="J16" s="36"/>
      <c r="K16" s="36"/>
      <c r="L16" s="36"/>
      <c r="M16" s="36"/>
      <c r="N16" s="36"/>
    </row>
    <row r="17" spans="4:14" x14ac:dyDescent="0.2">
      <c r="D17" s="73" t="s">
        <v>264</v>
      </c>
      <c r="G17" s="64" t="str">
        <f>Currency</f>
        <v>US$'000</v>
      </c>
      <c r="H17" s="64"/>
      <c r="J17" s="36">
        <f>-Calculations!J87</f>
        <v>-60</v>
      </c>
      <c r="K17" s="36">
        <f>-Calculations!K87</f>
        <v>-65</v>
      </c>
      <c r="L17" s="36">
        <f>-Calculations!L87</f>
        <v>-67.600000000000009</v>
      </c>
      <c r="M17" s="36">
        <f>-Calculations!M87</f>
        <v>-69.628000000000014</v>
      </c>
      <c r="N17" s="36">
        <f>-Calculations!N87</f>
        <v>-71.020560000000017</v>
      </c>
    </row>
    <row r="18" spans="4:14" x14ac:dyDescent="0.2">
      <c r="D18" s="80" t="s">
        <v>265</v>
      </c>
      <c r="G18" s="64" t="str">
        <f>Currency</f>
        <v>US$'000</v>
      </c>
      <c r="H18" s="64"/>
      <c r="J18" s="151">
        <f>J15+J17</f>
        <v>220</v>
      </c>
      <c r="K18" s="151">
        <f t="shared" ref="K18:N18" si="1">K15+K17</f>
        <v>248.60000000000002</v>
      </c>
      <c r="L18" s="151">
        <f t="shared" si="1"/>
        <v>277.36000000000007</v>
      </c>
      <c r="M18" s="151">
        <f t="shared" si="1"/>
        <v>302.92880000000002</v>
      </c>
      <c r="N18" s="151">
        <f t="shared" si="1"/>
        <v>320.16408000000013</v>
      </c>
    </row>
    <row r="19" spans="4:14" x14ac:dyDescent="0.2">
      <c r="H19" s="61"/>
      <c r="J19" s="36"/>
      <c r="K19" s="36"/>
      <c r="L19" s="36"/>
      <c r="M19" s="36"/>
      <c r="N19" s="36"/>
    </row>
    <row r="20" spans="4:14" x14ac:dyDescent="0.2">
      <c r="D20" s="73" t="s">
        <v>130</v>
      </c>
      <c r="G20" s="64" t="str">
        <f>Currency</f>
        <v>US$'000</v>
      </c>
      <c r="H20" s="64"/>
      <c r="J20" s="36">
        <f ca="1">Calculations!J120</f>
        <v>-127.5</v>
      </c>
      <c r="K20" s="36">
        <f ca="1">Calculations!K120</f>
        <v>-172.5</v>
      </c>
      <c r="L20" s="36">
        <f ca="1">Calculations!L120</f>
        <v>-202.5</v>
      </c>
      <c r="M20" s="36">
        <f ca="1">Calculations!M120</f>
        <v>-225</v>
      </c>
      <c r="N20" s="36">
        <f ca="1">Calculations!N120</f>
        <v>-212.5</v>
      </c>
    </row>
    <row r="21" spans="4:14" x14ac:dyDescent="0.2">
      <c r="D21" s="80" t="s">
        <v>266</v>
      </c>
      <c r="G21" s="64" t="str">
        <f>Currency</f>
        <v>US$'000</v>
      </c>
      <c r="H21" s="64"/>
      <c r="J21" s="151">
        <f ca="1">J18+J20</f>
        <v>92.5</v>
      </c>
      <c r="K21" s="151">
        <f t="shared" ref="K21" ca="1" si="2">K18+K20</f>
        <v>76.100000000000023</v>
      </c>
      <c r="L21" s="151">
        <f t="shared" ref="L21" ca="1" si="3">L18+L20</f>
        <v>74.86000000000007</v>
      </c>
      <c r="M21" s="151">
        <f t="shared" ref="M21" ca="1" si="4">M18+M20</f>
        <v>77.928800000000024</v>
      </c>
      <c r="N21" s="151">
        <f t="shared" ref="N21" ca="1" si="5">N18+N20</f>
        <v>107.66408000000013</v>
      </c>
    </row>
    <row r="22" spans="4:14" x14ac:dyDescent="0.2">
      <c r="H22" s="61"/>
      <c r="J22" s="36"/>
      <c r="K22" s="36"/>
      <c r="L22" s="36"/>
      <c r="M22" s="36"/>
      <c r="N22" s="36"/>
    </row>
    <row r="23" spans="4:14" x14ac:dyDescent="0.2">
      <c r="D23" s="73" t="s">
        <v>156</v>
      </c>
      <c r="G23" s="64" t="str">
        <f>Currency</f>
        <v>US$'000</v>
      </c>
      <c r="H23" s="64"/>
      <c r="J23" s="36">
        <f ca="1">-Calculations!J155+Calculations!J175</f>
        <v>-6.4217982115486389</v>
      </c>
      <c r="K23" s="36">
        <f ca="1">-Calculations!K155+Calculations!K175</f>
        <v>-7.9692532787940991</v>
      </c>
      <c r="L23" s="36">
        <f ca="1">-Calculations!L155+Calculations!L175</f>
        <v>-9.2226645960737326</v>
      </c>
      <c r="M23" s="36">
        <f ca="1">-Calculations!M155+Calculations!M175</f>
        <v>-7.6757710225164191</v>
      </c>
      <c r="N23" s="36">
        <f ca="1">-Calculations!N155+Calculations!N175</f>
        <v>-4.9265851230343785</v>
      </c>
    </row>
    <row r="24" spans="4:14" x14ac:dyDescent="0.2">
      <c r="D24" s="80" t="s">
        <v>132</v>
      </c>
      <c r="G24" s="64" t="str">
        <f>Currency</f>
        <v>US$'000</v>
      </c>
      <c r="H24" s="64"/>
      <c r="J24" s="151">
        <f ca="1">J21+J23</f>
        <v>86.078201788451366</v>
      </c>
      <c r="K24" s="151">
        <f t="shared" ref="K24" ca="1" si="6">K21+K23</f>
        <v>68.130746721205924</v>
      </c>
      <c r="L24" s="151">
        <f t="shared" ref="L24" ca="1" si="7">L21+L23</f>
        <v>65.637335403926343</v>
      </c>
      <c r="M24" s="151">
        <f t="shared" ref="M24" ca="1" si="8">M21+M23</f>
        <v>70.253028977483609</v>
      </c>
      <c r="N24" s="151">
        <f t="shared" ref="N24" ca="1" si="9">N21+N23</f>
        <v>102.73749487696574</v>
      </c>
    </row>
    <row r="25" spans="4:14" x14ac:dyDescent="0.2">
      <c r="H25" s="61"/>
      <c r="J25" s="36"/>
      <c r="K25" s="36"/>
      <c r="L25" s="36"/>
      <c r="M25" s="36"/>
      <c r="N25" s="36"/>
    </row>
    <row r="26" spans="4:14" x14ac:dyDescent="0.2">
      <c r="D26" s="73" t="s">
        <v>267</v>
      </c>
      <c r="G26" s="64" t="str">
        <f>Currency</f>
        <v>US$'000</v>
      </c>
      <c r="H26" s="64"/>
      <c r="J26" s="36">
        <f ca="1">-Calculations!J279</f>
        <v>-30.323460536535407</v>
      </c>
      <c r="K26" s="36">
        <f ca="1">-Calculations!K279</f>
        <v>-17.739224016361778</v>
      </c>
      <c r="L26" s="36">
        <f ca="1">-Calculations!L279</f>
        <v>-19.691200621177902</v>
      </c>
      <c r="M26" s="36">
        <f ca="1">-Calculations!M279</f>
        <v>-22.575908693245083</v>
      </c>
      <c r="N26" s="36">
        <f ca="1">-Calculations!N279</f>
        <v>-38.321248463089724</v>
      </c>
    </row>
    <row r="27" spans="4:14" ht="12.75" thickBot="1" x14ac:dyDescent="0.25">
      <c r="D27" s="80" t="s">
        <v>139</v>
      </c>
      <c r="G27" s="64" t="str">
        <f>Currency</f>
        <v>US$'000</v>
      </c>
      <c r="H27" s="64"/>
      <c r="J27" s="156">
        <f ca="1">J24+J26</f>
        <v>55.754741251915959</v>
      </c>
      <c r="K27" s="156">
        <f t="shared" ref="K27:N27" ca="1" si="10">K24+K26</f>
        <v>50.391522704844149</v>
      </c>
      <c r="L27" s="156">
        <f t="shared" ca="1" si="10"/>
        <v>45.946134782748445</v>
      </c>
      <c r="M27" s="156">
        <f t="shared" ca="1" si="10"/>
        <v>47.677120284238526</v>
      </c>
      <c r="N27" s="156">
        <f t="shared" ca="1" si="10"/>
        <v>64.416246413876024</v>
      </c>
    </row>
    <row r="28" spans="4:14" ht="12.75" thickTop="1" x14ac:dyDescent="0.2"/>
  </sheetData>
  <conditionalFormatting sqref="G12 G10 G4">
    <cfRule type="cellIs" dxfId="15" priority="1" operator="notEqual">
      <formula>0</formula>
    </cfRule>
  </conditionalFormatting>
  <hyperlinks>
    <hyperlink ref="A3:E3" location="HL_Navigator" tooltip="Go to Navigator (Table of Contents)" display="Navigator" xr:uid="{00000000-0004-0000-0700-000000000000}"/>
    <hyperlink ref="A3" location="HL_Navigator" display="Navigator" xr:uid="{00000000-0004-0000-0700-000001000000}"/>
    <hyperlink ref="G4" location="Overall_Error_Check" tooltip="Go to Overall Error Check" display="Overall_Error_Check" xr:uid="{00000000-0004-0000-0700-000002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outlinePr summaryBelow="0" summaryRight="0"/>
  </sheetPr>
  <dimension ref="A1:Q58"/>
  <sheetViews>
    <sheetView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4" width="3.7109375" style="92" customWidth="1"/>
    <col min="5" max="5" width="20.140625" style="92" customWidth="1"/>
    <col min="6" max="6" width="1.7109375" style="92" customWidth="1"/>
    <col min="7" max="7" width="9.140625" style="92"/>
    <col min="8" max="8" width="1.7109375" style="92" customWidth="1"/>
    <col min="9" max="16384" width="9.140625" style="92"/>
  </cols>
  <sheetData>
    <row r="1" spans="1:15" ht="20.25" x14ac:dyDescent="0.3">
      <c r="A1" s="46" t="str">
        <f ca="1">IFERROR(RIGHT(CELL("filename",A1),LEN(CELL("filename",A1))-FIND("]",CELL("filename",A1))),"")</f>
        <v>Balance Sheet</v>
      </c>
    </row>
    <row r="2" spans="1:15" ht="18" x14ac:dyDescent="0.25">
      <c r="A2" s="74" t="str">
        <f ca="1">Model_Name</f>
        <v>Chapter 7.1 - SP Case Study Model vLB1.01.xlsx</v>
      </c>
    </row>
    <row r="3" spans="1:15" x14ac:dyDescent="0.2">
      <c r="A3" s="176" t="s">
        <v>1</v>
      </c>
      <c r="B3" s="125"/>
      <c r="C3" s="125"/>
      <c r="D3" s="125"/>
      <c r="E3" s="125"/>
      <c r="G3" s="99"/>
    </row>
    <row r="4" spans="1:15" x14ac:dyDescent="0.2">
      <c r="A4" s="92" t="s">
        <v>2</v>
      </c>
      <c r="B4" s="125"/>
      <c r="C4" s="125"/>
      <c r="D4" s="125"/>
      <c r="E4" s="125"/>
      <c r="G4" s="96">
        <f ca="1">Overall_Error_Check</f>
        <v>0</v>
      </c>
    </row>
    <row r="5" spans="1:15" collapsed="1" x14ac:dyDescent="0.2">
      <c r="A5" s="83"/>
      <c r="B5" s="125"/>
      <c r="C5" s="125"/>
      <c r="D5" s="125"/>
      <c r="E5" s="125"/>
      <c r="G5" s="99"/>
      <c r="J5" s="40">
        <f>Timing!J5</f>
        <v>44377</v>
      </c>
      <c r="K5" s="40">
        <f>Timing!K5</f>
        <v>44742</v>
      </c>
      <c r="L5" s="40">
        <f>Timing!L5</f>
        <v>45107</v>
      </c>
      <c r="M5" s="40">
        <f>Timing!M5</f>
        <v>45473</v>
      </c>
      <c r="N5" s="40">
        <f>Timing!N5</f>
        <v>45838</v>
      </c>
    </row>
    <row r="6" spans="1:15" hidden="1" outlineLevel="1" x14ac:dyDescent="0.2">
      <c r="A6" s="83"/>
      <c r="B6" s="125"/>
      <c r="C6" s="92" t="str">
        <f>Timing!C6</f>
        <v>Start Date</v>
      </c>
      <c r="D6" s="125"/>
      <c r="E6" s="125"/>
      <c r="G6" s="99"/>
      <c r="J6" s="39">
        <f>Timing!J6</f>
        <v>44013</v>
      </c>
      <c r="K6" s="39">
        <f>Timing!K6</f>
        <v>44378</v>
      </c>
      <c r="L6" s="39">
        <f>Timing!L6</f>
        <v>44743</v>
      </c>
      <c r="M6" s="39">
        <f>Timing!M6</f>
        <v>45108</v>
      </c>
      <c r="N6" s="39">
        <f>Timing!N6</f>
        <v>45474</v>
      </c>
    </row>
    <row r="7" spans="1:15" hidden="1" outlineLevel="1" x14ac:dyDescent="0.2">
      <c r="A7" s="73"/>
      <c r="B7" s="125"/>
      <c r="C7" s="92" t="str">
        <f>Timing!C7</f>
        <v>End Date</v>
      </c>
      <c r="D7" s="125"/>
      <c r="E7" s="125"/>
      <c r="G7" s="99"/>
      <c r="H7" s="99"/>
      <c r="J7" s="39">
        <f>Timing!J7</f>
        <v>44377</v>
      </c>
      <c r="K7" s="39">
        <f>Timing!K7</f>
        <v>44742</v>
      </c>
      <c r="L7" s="39">
        <f>Timing!L7</f>
        <v>45107</v>
      </c>
      <c r="M7" s="39">
        <f>Timing!M7</f>
        <v>45473</v>
      </c>
      <c r="N7" s="39">
        <f>Timing!N7</f>
        <v>45838</v>
      </c>
    </row>
    <row r="8" spans="1:15" hidden="1" outlineLevel="1" x14ac:dyDescent="0.2">
      <c r="A8" s="122"/>
      <c r="B8" s="125"/>
      <c r="C8" s="92" t="str">
        <f>Timing!C8</f>
        <v>Number of Days</v>
      </c>
      <c r="D8" s="125"/>
      <c r="E8" s="125"/>
      <c r="G8" s="99"/>
      <c r="H8" s="99"/>
      <c r="J8" s="35">
        <f>Timing!J8</f>
        <v>365</v>
      </c>
      <c r="K8" s="35">
        <f>Timing!K8</f>
        <v>365</v>
      </c>
      <c r="L8" s="35">
        <f>Timing!L8</f>
        <v>365</v>
      </c>
      <c r="M8" s="35">
        <f>Timing!M8</f>
        <v>366</v>
      </c>
      <c r="N8" s="35">
        <f>Timing!N8</f>
        <v>365</v>
      </c>
    </row>
    <row r="9" spans="1:15" hidden="1" outlineLevel="1" x14ac:dyDescent="0.2">
      <c r="A9" s="122"/>
      <c r="B9" s="125"/>
      <c r="C9" s="92" t="str">
        <f>Timing!C9</f>
        <v>Counter</v>
      </c>
      <c r="D9" s="125"/>
      <c r="E9" s="125"/>
      <c r="G9" s="99"/>
      <c r="H9" s="99"/>
      <c r="J9" s="35">
        <f>Timing!J9</f>
        <v>1</v>
      </c>
      <c r="K9" s="35">
        <f>Timing!K9</f>
        <v>2</v>
      </c>
      <c r="L9" s="35">
        <f>Timing!L9</f>
        <v>3</v>
      </c>
      <c r="M9" s="35">
        <f>Timing!M9</f>
        <v>4</v>
      </c>
      <c r="N9" s="35">
        <f>Timing!N9</f>
        <v>5</v>
      </c>
    </row>
    <row r="11" spans="1:15" ht="16.5" thickBot="1" x14ac:dyDescent="0.3">
      <c r="B11" s="48">
        <f>MAX($B$9:$B10)+1</f>
        <v>1</v>
      </c>
      <c r="C11" s="3" t="str">
        <f ca="1">A1</f>
        <v>Balance Sheet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75" thickTop="1" x14ac:dyDescent="0.2">
      <c r="C12" s="152"/>
    </row>
    <row r="13" spans="1:15" x14ac:dyDescent="0.2">
      <c r="C13" s="152" t="str">
        <f>'Opening Balance Sheet'!C13</f>
        <v>Current Assets</v>
      </c>
    </row>
    <row r="14" spans="1:15" x14ac:dyDescent="0.2">
      <c r="C14" s="152"/>
      <c r="D14" s="92" t="str">
        <f>'Opening Balance Sheet'!D14</f>
        <v xml:space="preserve">Cash </v>
      </c>
      <c r="G14" s="103" t="str">
        <f>Currency</f>
        <v>US$'000</v>
      </c>
      <c r="H14" s="103"/>
      <c r="J14" s="135">
        <f ca="1">IF(J$9=1,'Opening Balance Sheet'!$I$14,I14)+'Cash Flow Statement'!J37</f>
        <v>263.83561643835617</v>
      </c>
      <c r="K14" s="135">
        <f ca="1">IF(K$9=1,'Opening Balance Sheet'!$I$14,J14)+'Cash Flow Statement'!K37</f>
        <v>352.73540688643129</v>
      </c>
      <c r="L14" s="135">
        <f ca="1">IF(L$9=1,'Opening Balance Sheet'!$I$14,K14)+'Cash Flow Statement'!L37</f>
        <v>462.95828583727996</v>
      </c>
      <c r="M14" s="135">
        <f ca="1">IF(M$9=1,'Opening Balance Sheet'!$I$14,L14)+'Cash Flow Statement'!M37</f>
        <v>627.15038477912412</v>
      </c>
      <c r="N14" s="135">
        <f ca="1">IF(N$9=1,'Opening Balance Sheet'!$I$14,M14)+'Cash Flow Statement'!N37</f>
        <v>788.03042917760808</v>
      </c>
    </row>
    <row r="15" spans="1:15" x14ac:dyDescent="0.2">
      <c r="C15" s="152"/>
      <c r="D15" s="92" t="str">
        <f>'Opening Balance Sheet'!D15</f>
        <v>Accounts Receivable</v>
      </c>
      <c r="G15" s="103" t="str">
        <f>Currency</f>
        <v>US$'000</v>
      </c>
      <c r="H15" s="103"/>
      <c r="J15" s="135">
        <f>Calculations!J34</f>
        <v>65.753424657534239</v>
      </c>
      <c r="K15" s="135">
        <f>Calculations!K34</f>
        <v>73.643835616438366</v>
      </c>
      <c r="L15" s="135">
        <f>Calculations!L34</f>
        <v>81.008219178082214</v>
      </c>
      <c r="M15" s="135">
        <f>Calculations!M34</f>
        <v>87.249836065573788</v>
      </c>
      <c r="N15" s="135">
        <f>Calculations!N34</f>
        <v>91.863320547945236</v>
      </c>
    </row>
    <row r="16" spans="1:15" x14ac:dyDescent="0.2">
      <c r="C16" s="152"/>
      <c r="D16" s="92" t="str">
        <f>'Opening Balance Sheet'!D16</f>
        <v>Other Current Assets</v>
      </c>
      <c r="G16" s="103" t="str">
        <f>Currency</f>
        <v>US$'000</v>
      </c>
      <c r="H16" s="103"/>
      <c r="J16" s="135">
        <f>Calculations!J333</f>
        <v>10</v>
      </c>
      <c r="K16" s="135">
        <f>Calculations!K333</f>
        <v>10</v>
      </c>
      <c r="L16" s="135">
        <f>Calculations!L333</f>
        <v>10</v>
      </c>
      <c r="M16" s="135">
        <f>Calculations!M333</f>
        <v>10</v>
      </c>
      <c r="N16" s="135">
        <f>Calculations!N333</f>
        <v>10</v>
      </c>
    </row>
    <row r="17" spans="3:14" x14ac:dyDescent="0.2">
      <c r="C17" s="152"/>
      <c r="D17" s="66" t="str">
        <f>'Opening Balance Sheet'!D17</f>
        <v>Total Current Assets</v>
      </c>
      <c r="G17" s="103" t="str">
        <f>Currency</f>
        <v>US$'000</v>
      </c>
      <c r="H17" s="103"/>
      <c r="J17" s="142">
        <f ca="1">SUM(J14:J16)</f>
        <v>339.58904109589042</v>
      </c>
      <c r="K17" s="142">
        <f t="shared" ref="K17:N17" ca="1" si="0">SUM(K14:K16)</f>
        <v>436.37924250286966</v>
      </c>
      <c r="L17" s="142">
        <f t="shared" ca="1" si="0"/>
        <v>553.96650501536215</v>
      </c>
      <c r="M17" s="142">
        <f t="shared" ca="1" si="0"/>
        <v>724.40022084469797</v>
      </c>
      <c r="N17" s="142">
        <f t="shared" ca="1" si="0"/>
        <v>889.89374972555333</v>
      </c>
    </row>
    <row r="18" spans="3:14" x14ac:dyDescent="0.2">
      <c r="C18" s="152"/>
      <c r="J18" s="135"/>
      <c r="K18" s="135"/>
      <c r="L18" s="135"/>
      <c r="M18" s="135"/>
      <c r="N18" s="135"/>
    </row>
    <row r="19" spans="3:14" x14ac:dyDescent="0.2">
      <c r="C19" s="152" t="str">
        <f>'Opening Balance Sheet'!C19</f>
        <v>Non-Current Assets</v>
      </c>
      <c r="J19" s="135"/>
      <c r="K19" s="135"/>
      <c r="L19" s="135"/>
      <c r="M19" s="135"/>
      <c r="N19" s="135"/>
    </row>
    <row r="20" spans="3:14" x14ac:dyDescent="0.2">
      <c r="C20" s="152"/>
      <c r="D20" s="92" t="str">
        <f>'Opening Balance Sheet'!D20</f>
        <v>PP&amp;E</v>
      </c>
      <c r="G20" s="103" t="str">
        <f>Currency</f>
        <v>US$'000</v>
      </c>
      <c r="H20" s="103"/>
      <c r="J20" s="135">
        <f ca="1">Calculations!J121</f>
        <v>472.5</v>
      </c>
      <c r="K20" s="135">
        <f ca="1">Calculations!K121</f>
        <v>480</v>
      </c>
      <c r="L20" s="135">
        <f ca="1">Calculations!L121</f>
        <v>397.5</v>
      </c>
      <c r="M20" s="135">
        <f ca="1">Calculations!M121</f>
        <v>262.5</v>
      </c>
      <c r="N20" s="135">
        <f ca="1">Calculations!N121</f>
        <v>150</v>
      </c>
    </row>
    <row r="21" spans="3:14" x14ac:dyDescent="0.2">
      <c r="C21" s="152"/>
      <c r="D21" s="92" t="str">
        <f>'Opening Balance Sheet'!D21</f>
        <v>Deferred Tax Assets</v>
      </c>
      <c r="G21" s="103" t="str">
        <f>Currency</f>
        <v>US$'000</v>
      </c>
      <c r="H21" s="103"/>
      <c r="J21" s="135">
        <f ca="1">Calculations!J274</f>
        <v>82.926539463464593</v>
      </c>
      <c r="K21" s="135">
        <f ca="1">Calculations!K274</f>
        <v>84.08731544710281</v>
      </c>
      <c r="L21" s="135">
        <f ca="1">Calculations!L274</f>
        <v>60.211114825924909</v>
      </c>
      <c r="M21" s="135">
        <f ca="1">Calculations!M274</f>
        <v>16.674206132679828</v>
      </c>
      <c r="N21" s="135">
        <f ca="1">Calculations!N274</f>
        <v>0</v>
      </c>
    </row>
    <row r="22" spans="3:14" x14ac:dyDescent="0.2">
      <c r="C22" s="152"/>
      <c r="D22" s="66" t="str">
        <f>'Opening Balance Sheet'!D22</f>
        <v>Total Non-Current Assets</v>
      </c>
      <c r="G22" s="103" t="str">
        <f>Currency</f>
        <v>US$'000</v>
      </c>
      <c r="H22" s="103"/>
      <c r="J22" s="142">
        <f ca="1">SUM(J20:J21)</f>
        <v>555.42653946346456</v>
      </c>
      <c r="K22" s="142">
        <f t="shared" ref="K22:N22" ca="1" si="1">SUM(K20:K21)</f>
        <v>564.08731544710281</v>
      </c>
      <c r="L22" s="142">
        <f t="shared" ca="1" si="1"/>
        <v>457.71111482592494</v>
      </c>
      <c r="M22" s="142">
        <f t="shared" ca="1" si="1"/>
        <v>279.17420613267984</v>
      </c>
      <c r="N22" s="142">
        <f t="shared" ca="1" si="1"/>
        <v>150</v>
      </c>
    </row>
    <row r="23" spans="3:14" x14ac:dyDescent="0.2">
      <c r="C23" s="152"/>
      <c r="J23" s="135"/>
      <c r="K23" s="135"/>
      <c r="L23" s="135"/>
      <c r="M23" s="135"/>
      <c r="N23" s="135"/>
    </row>
    <row r="24" spans="3:14" x14ac:dyDescent="0.2">
      <c r="C24" s="152" t="str">
        <f>'Opening Balance Sheet'!C24</f>
        <v>Total Assets</v>
      </c>
      <c r="G24" s="103" t="str">
        <f>Currency</f>
        <v>US$'000</v>
      </c>
      <c r="H24" s="103"/>
      <c r="J24" s="142">
        <f ca="1">J17+J22</f>
        <v>895.01558055935493</v>
      </c>
      <c r="K24" s="142">
        <f t="shared" ref="K24:N24" ca="1" si="2">K17+K22</f>
        <v>1000.4665579499724</v>
      </c>
      <c r="L24" s="142">
        <f t="shared" ca="1" si="2"/>
        <v>1011.6776198412871</v>
      </c>
      <c r="M24" s="142">
        <f t="shared" ca="1" si="2"/>
        <v>1003.5744269773778</v>
      </c>
      <c r="N24" s="142">
        <f t="shared" ca="1" si="2"/>
        <v>1039.8937497255533</v>
      </c>
    </row>
    <row r="25" spans="3:14" x14ac:dyDescent="0.2">
      <c r="C25" s="152"/>
      <c r="J25" s="135"/>
      <c r="K25" s="135"/>
      <c r="L25" s="135"/>
      <c r="M25" s="135"/>
      <c r="N25" s="135"/>
    </row>
    <row r="26" spans="3:14" x14ac:dyDescent="0.2">
      <c r="C26" s="152" t="str">
        <f>'Opening Balance Sheet'!C26</f>
        <v>Current Liabilities</v>
      </c>
      <c r="J26" s="135"/>
      <c r="K26" s="135"/>
      <c r="L26" s="135"/>
      <c r="M26" s="135"/>
      <c r="N26" s="135"/>
    </row>
    <row r="27" spans="3:14" x14ac:dyDescent="0.2">
      <c r="C27" s="152"/>
      <c r="D27" s="92" t="str">
        <f>'Opening Balance Sheet'!D27</f>
        <v>Accounts Payable</v>
      </c>
      <c r="G27" s="103" t="str">
        <f t="shared" ref="G27:G32" si="3">Currency</f>
        <v>US$'000</v>
      </c>
      <c r="H27" s="103"/>
      <c r="J27" s="135">
        <f>Calculations!J60+Calculations!J89</f>
        <v>29.589041095890408</v>
      </c>
      <c r="K27" s="135">
        <f>Calculations!K60+Calculations!K89</f>
        <v>33.139726027397266</v>
      </c>
      <c r="L27" s="135">
        <f>Calculations!L60+Calculations!L89</f>
        <v>36.453698630136991</v>
      </c>
      <c r="M27" s="135">
        <f>Calculations!M60+Calculations!M89</f>
        <v>39.262426229508222</v>
      </c>
      <c r="N27" s="135">
        <f>Calculations!N60+Calculations!N89</f>
        <v>41.338494246575365</v>
      </c>
    </row>
    <row r="28" spans="3:14" x14ac:dyDescent="0.2">
      <c r="C28" s="152"/>
      <c r="D28" s="92" t="str">
        <f>'Opening Balance Sheet'!D28</f>
        <v>Interest Payable</v>
      </c>
      <c r="G28" s="103" t="str">
        <f t="shared" si="3"/>
        <v>US$'000</v>
      </c>
      <c r="H28" s="103"/>
      <c r="J28" s="135">
        <f ca="1">Calculations!J157-Calculations!J177</f>
        <v>6.4217982115486389</v>
      </c>
      <c r="K28" s="135">
        <f ca="1">Calculations!K157-Calculations!K177</f>
        <v>7.9692532787940991</v>
      </c>
      <c r="L28" s="135">
        <f ca="1">Calculations!L157-Calculations!L177</f>
        <v>9.2226645960737326</v>
      </c>
      <c r="M28" s="135">
        <f ca="1">Calculations!M157-Calculations!M177</f>
        <v>7.67577102251642</v>
      </c>
      <c r="N28" s="135">
        <f ca="1">Calculations!N157-Calculations!N177</f>
        <v>4.9265851230343785</v>
      </c>
    </row>
    <row r="29" spans="3:14" x14ac:dyDescent="0.2">
      <c r="C29" s="152"/>
      <c r="D29" s="92" t="str">
        <f>'Opening Balance Sheet'!D29</f>
        <v>Dividends Payable</v>
      </c>
      <c r="G29" s="103" t="str">
        <f t="shared" si="3"/>
        <v>US$'000</v>
      </c>
      <c r="H29" s="103"/>
      <c r="J29" s="135">
        <f ca="1">Calculations!J322</f>
        <v>13.93868531297899</v>
      </c>
      <c r="K29" s="135">
        <f ca="1">Calculations!K322</f>
        <v>15.117456811453245</v>
      </c>
      <c r="L29" s="135">
        <f ca="1">Calculations!L322</f>
        <v>16.081147173961956</v>
      </c>
      <c r="M29" s="135">
        <f ca="1">Calculations!M322</f>
        <v>19.070848113695416</v>
      </c>
      <c r="N29" s="135">
        <f ca="1">Calculations!N322</f>
        <v>28.987310886244213</v>
      </c>
    </row>
    <row r="30" spans="3:14" x14ac:dyDescent="0.2">
      <c r="C30" s="152"/>
      <c r="D30" s="92" t="str">
        <f>'Opening Balance Sheet'!D30</f>
        <v>Tax Payable</v>
      </c>
      <c r="G30" s="103" t="str">
        <f t="shared" si="3"/>
        <v>US$'000</v>
      </c>
      <c r="H30" s="103"/>
      <c r="J30" s="135">
        <f ca="1">Calculations!J283</f>
        <v>0</v>
      </c>
      <c r="K30" s="135">
        <f ca="1">Calculations!K283</f>
        <v>0</v>
      </c>
      <c r="L30" s="135">
        <f ca="1">Calculations!L283</f>
        <v>0</v>
      </c>
      <c r="M30" s="135">
        <f ca="1">Calculations!M283</f>
        <v>0</v>
      </c>
      <c r="N30" s="135">
        <f ca="1">Calculations!N283</f>
        <v>34.901042330409879</v>
      </c>
    </row>
    <row r="31" spans="3:14" x14ac:dyDescent="0.2">
      <c r="C31" s="152"/>
      <c r="D31" s="92" t="str">
        <f>'Opening Balance Sheet'!D31</f>
        <v>Other Current Liabilities</v>
      </c>
      <c r="G31" s="103" t="str">
        <f t="shared" si="3"/>
        <v>US$'000</v>
      </c>
      <c r="H31" s="103"/>
      <c r="J31" s="135">
        <f>Calculations!J344</f>
        <v>10</v>
      </c>
      <c r="K31" s="135">
        <f>Calculations!K344</f>
        <v>10</v>
      </c>
      <c r="L31" s="135">
        <f>Calculations!L344</f>
        <v>10</v>
      </c>
      <c r="M31" s="135">
        <f>Calculations!M344</f>
        <v>10</v>
      </c>
      <c r="N31" s="135">
        <f>Calculations!N344</f>
        <v>10</v>
      </c>
    </row>
    <row r="32" spans="3:14" x14ac:dyDescent="0.2">
      <c r="C32" s="152"/>
      <c r="D32" s="66" t="str">
        <f>'Opening Balance Sheet'!D32</f>
        <v>Total Current Liabilities</v>
      </c>
      <c r="G32" s="103" t="str">
        <f t="shared" si="3"/>
        <v>US$'000</v>
      </c>
      <c r="H32" s="103"/>
      <c r="J32" s="142">
        <f ca="1">SUM(J27:J31)</f>
        <v>59.949524620418039</v>
      </c>
      <c r="K32" s="142">
        <f t="shared" ref="K32:N32" ca="1" si="4">SUM(K27:K31)</f>
        <v>66.22643611764461</v>
      </c>
      <c r="L32" s="142">
        <f t="shared" ca="1" si="4"/>
        <v>71.757510400172677</v>
      </c>
      <c r="M32" s="142">
        <f t="shared" ca="1" si="4"/>
        <v>76.009045365720056</v>
      </c>
      <c r="N32" s="142">
        <f t="shared" ca="1" si="4"/>
        <v>120.15343258626383</v>
      </c>
    </row>
    <row r="33" spans="3:17" x14ac:dyDescent="0.2">
      <c r="C33" s="152"/>
      <c r="J33" s="135"/>
      <c r="K33" s="135"/>
      <c r="L33" s="135"/>
      <c r="M33" s="135"/>
      <c r="N33" s="135"/>
    </row>
    <row r="34" spans="3:17" x14ac:dyDescent="0.2">
      <c r="C34" s="152" t="str">
        <f>'Opening Balance Sheet'!C34</f>
        <v xml:space="preserve">Non-Current Liabilities </v>
      </c>
      <c r="J34" s="135"/>
      <c r="K34" s="135"/>
      <c r="L34" s="135"/>
      <c r="M34" s="135"/>
      <c r="N34" s="135"/>
    </row>
    <row r="35" spans="3:17" x14ac:dyDescent="0.2">
      <c r="C35" s="152"/>
      <c r="D35" s="92" t="str">
        <f>'Opening Balance Sheet'!D35</f>
        <v>Debt</v>
      </c>
      <c r="G35" s="103" t="str">
        <f>Currency</f>
        <v>US$'000</v>
      </c>
      <c r="H35" s="103"/>
      <c r="J35" s="135">
        <f>Calculations!J138</f>
        <v>170</v>
      </c>
      <c r="K35" s="135">
        <f>Calculations!K138</f>
        <v>190</v>
      </c>
      <c r="L35" s="135">
        <f>Calculations!L138</f>
        <v>175</v>
      </c>
      <c r="M35" s="135">
        <f>Calculations!M138</f>
        <v>150</v>
      </c>
      <c r="N35" s="135">
        <f>Calculations!N138</f>
        <v>140</v>
      </c>
    </row>
    <row r="36" spans="3:17" x14ac:dyDescent="0.2">
      <c r="C36" s="152"/>
      <c r="D36" s="92" t="str">
        <f>'Opening Balance Sheet'!D36</f>
        <v>Deferred Tax Liabilities</v>
      </c>
      <c r="G36" s="103" t="str">
        <f>Currency</f>
        <v>US$'000</v>
      </c>
      <c r="H36" s="103"/>
      <c r="J36" s="135">
        <f ca="1">Calculations!J236</f>
        <v>63.25</v>
      </c>
      <c r="K36" s="135">
        <f ca="1">Calculations!K236</f>
        <v>82.15</v>
      </c>
      <c r="L36" s="135">
        <f ca="1">Calculations!L236</f>
        <v>77.965000000000003</v>
      </c>
      <c r="M36" s="135">
        <f ca="1">Calculations!M236</f>
        <v>57.004000000000005</v>
      </c>
      <c r="N36" s="135">
        <f ca="1">Calculations!N236</f>
        <v>43.75</v>
      </c>
    </row>
    <row r="37" spans="3:17" x14ac:dyDescent="0.2">
      <c r="C37" s="152"/>
      <c r="D37" s="66" t="str">
        <f>'Opening Balance Sheet'!D37</f>
        <v>Total Non-Current Liabilities</v>
      </c>
      <c r="G37" s="103" t="str">
        <f>Currency</f>
        <v>US$'000</v>
      </c>
      <c r="H37" s="103"/>
      <c r="J37" s="142">
        <f ca="1">SUM(J35:J36)</f>
        <v>233.25</v>
      </c>
      <c r="K37" s="142">
        <f t="shared" ref="K37:N37" ca="1" si="5">SUM(K35:K36)</f>
        <v>272.14999999999998</v>
      </c>
      <c r="L37" s="142">
        <f t="shared" ca="1" si="5"/>
        <v>252.965</v>
      </c>
      <c r="M37" s="142">
        <f t="shared" ca="1" si="5"/>
        <v>207.00400000000002</v>
      </c>
      <c r="N37" s="142">
        <f t="shared" ca="1" si="5"/>
        <v>183.75</v>
      </c>
    </row>
    <row r="38" spans="3:17" x14ac:dyDescent="0.2">
      <c r="C38" s="152"/>
      <c r="J38" s="135"/>
      <c r="K38" s="135"/>
      <c r="L38" s="135"/>
      <c r="M38" s="135"/>
      <c r="N38" s="135"/>
    </row>
    <row r="39" spans="3:17" x14ac:dyDescent="0.2">
      <c r="C39" s="152" t="str">
        <f>'Opening Balance Sheet'!C39</f>
        <v>Total Liabilities</v>
      </c>
      <c r="G39" s="103" t="str">
        <f>Currency</f>
        <v>US$'000</v>
      </c>
      <c r="H39" s="103"/>
      <c r="J39" s="142">
        <f ca="1">J32+J37</f>
        <v>293.19952462041806</v>
      </c>
      <c r="K39" s="142">
        <f t="shared" ref="K39:N39" ca="1" si="6">K32+K37</f>
        <v>338.37643611764457</v>
      </c>
      <c r="L39" s="142">
        <f t="shared" ca="1" si="6"/>
        <v>324.72251040017267</v>
      </c>
      <c r="M39" s="142">
        <f t="shared" ca="1" si="6"/>
        <v>283.01304536572007</v>
      </c>
      <c r="N39" s="142">
        <f t="shared" ca="1" si="6"/>
        <v>303.90343258626382</v>
      </c>
    </row>
    <row r="40" spans="3:17" x14ac:dyDescent="0.2">
      <c r="C40" s="152"/>
      <c r="J40" s="135"/>
      <c r="K40" s="135"/>
      <c r="L40" s="135"/>
      <c r="M40" s="135"/>
      <c r="N40" s="135"/>
    </row>
    <row r="41" spans="3:17" ht="12.75" thickBot="1" x14ac:dyDescent="0.25">
      <c r="C41" s="152" t="str">
        <f>'Opening Balance Sheet'!C41</f>
        <v>Net Assets</v>
      </c>
      <c r="G41" s="103" t="str">
        <f>Currency</f>
        <v>US$'000</v>
      </c>
      <c r="H41" s="103"/>
      <c r="J41" s="156">
        <f ca="1">J24-J39</f>
        <v>601.81605593893687</v>
      </c>
      <c r="K41" s="156">
        <f ca="1">K24-K39</f>
        <v>662.0901218323279</v>
      </c>
      <c r="L41" s="156">
        <f ca="1">L24-L39</f>
        <v>686.95510944111447</v>
      </c>
      <c r="M41" s="156">
        <f ca="1">M24-M39</f>
        <v>720.56138161165768</v>
      </c>
      <c r="N41" s="156">
        <f ca="1">N24-N39</f>
        <v>735.99031713928957</v>
      </c>
    </row>
    <row r="42" spans="3:17" ht="12.75" thickTop="1" x14ac:dyDescent="0.2">
      <c r="C42" s="152"/>
      <c r="J42" s="135"/>
      <c r="K42" s="135"/>
      <c r="L42" s="135"/>
      <c r="M42" s="135"/>
      <c r="N42" s="135"/>
    </row>
    <row r="43" spans="3:17" x14ac:dyDescent="0.2">
      <c r="C43" s="152"/>
      <c r="J43" s="135"/>
      <c r="K43" s="135"/>
      <c r="L43" s="135"/>
      <c r="M43" s="135"/>
      <c r="N43" s="135"/>
    </row>
    <row r="44" spans="3:17" x14ac:dyDescent="0.2">
      <c r="C44" s="152" t="str">
        <f>'Opening Balance Sheet'!C44</f>
        <v xml:space="preserve">Equity </v>
      </c>
      <c r="J44" s="135"/>
      <c r="K44" s="135"/>
      <c r="L44" s="135"/>
      <c r="M44" s="135"/>
      <c r="N44" s="135"/>
    </row>
    <row r="45" spans="3:17" x14ac:dyDescent="0.2">
      <c r="C45" s="152"/>
      <c r="D45" s="92" t="str">
        <f>'Opening Balance Sheet'!D45</f>
        <v>Ordinary Equity</v>
      </c>
      <c r="G45" s="103" t="str">
        <f t="shared" ref="G45:G50" si="7">Currency</f>
        <v>US$'000</v>
      </c>
      <c r="H45" s="103"/>
      <c r="J45" s="135">
        <f>Calculations!J298</f>
        <v>315</v>
      </c>
      <c r="K45" s="135">
        <f>Calculations!K298</f>
        <v>340</v>
      </c>
      <c r="L45" s="135">
        <f>Calculations!L298</f>
        <v>335</v>
      </c>
      <c r="M45" s="135">
        <f>Calculations!M298</f>
        <v>340</v>
      </c>
      <c r="N45" s="135">
        <f>Calculations!N298</f>
        <v>320</v>
      </c>
    </row>
    <row r="46" spans="3:17" x14ac:dyDescent="0.2">
      <c r="C46" s="152"/>
      <c r="E46" s="92" t="s">
        <v>268</v>
      </c>
      <c r="G46" s="103" t="str">
        <f t="shared" si="7"/>
        <v>US$'000</v>
      </c>
      <c r="H46" s="103"/>
      <c r="J46" s="135">
        <f>IF(J$9=1,'Opening Balance Sheet'!$I$49,I49)</f>
        <v>245</v>
      </c>
      <c r="K46" s="135">
        <f ca="1">IF(K$9=1,'Opening Balance Sheet'!$I$49,J49)</f>
        <v>286.81605593893698</v>
      </c>
      <c r="L46" s="135">
        <f ca="1">IF(L$9=1,'Opening Balance Sheet'!$I$49,K49)</f>
        <v>322.0901218323279</v>
      </c>
      <c r="M46" s="135">
        <f ca="1">IF(M$9=1,'Opening Balance Sheet'!$I$49,L49)</f>
        <v>351.95510944111442</v>
      </c>
      <c r="N46" s="135">
        <f ca="1">IF(N$9=1,'Opening Balance Sheet'!$I$49,M49)</f>
        <v>380.56138161165751</v>
      </c>
    </row>
    <row r="47" spans="3:17" x14ac:dyDescent="0.2">
      <c r="C47" s="152"/>
      <c r="E47" s="92" t="str">
        <f>'Opening Balance Sheet'!E47</f>
        <v>NPAT</v>
      </c>
      <c r="G47" s="103" t="str">
        <f t="shared" si="7"/>
        <v>US$'000</v>
      </c>
      <c r="H47" s="103"/>
      <c r="J47" s="135">
        <f ca="1">'Income Statement'!J27</f>
        <v>55.754741251915959</v>
      </c>
      <c r="K47" s="135">
        <f ca="1">'Income Statement'!K27</f>
        <v>50.391522704844149</v>
      </c>
      <c r="L47" s="135">
        <f ca="1">'Income Statement'!L27</f>
        <v>45.946134782748445</v>
      </c>
      <c r="M47" s="135">
        <f ca="1">'Income Statement'!M27</f>
        <v>47.677120284238526</v>
      </c>
      <c r="N47" s="135">
        <f ca="1">'Income Statement'!N27</f>
        <v>64.416246413876024</v>
      </c>
      <c r="Q47" s="103"/>
    </row>
    <row r="48" spans="3:17" x14ac:dyDescent="0.2">
      <c r="C48" s="152"/>
      <c r="E48" s="92" t="str">
        <f>'Opening Balance Sheet'!E48</f>
        <v xml:space="preserve">Dividends Declared </v>
      </c>
      <c r="G48" s="103" t="str">
        <f t="shared" si="7"/>
        <v>US$'000</v>
      </c>
      <c r="H48" s="103"/>
      <c r="J48" s="135">
        <f ca="1">-Calculations!J320</f>
        <v>-13.93868531297899</v>
      </c>
      <c r="K48" s="135">
        <f ca="1">-Calculations!K320</f>
        <v>-15.117456811453245</v>
      </c>
      <c r="L48" s="135">
        <f ca="1">-Calculations!L320</f>
        <v>-16.081147173961956</v>
      </c>
      <c r="M48" s="135">
        <f ca="1">-Calculations!M320</f>
        <v>-19.070848113695412</v>
      </c>
      <c r="N48" s="135">
        <f ca="1">-Calculations!N320</f>
        <v>-28.987310886244213</v>
      </c>
      <c r="Q48" s="103"/>
    </row>
    <row r="49" spans="3:17" x14ac:dyDescent="0.2">
      <c r="C49" s="152"/>
      <c r="D49" s="92" t="str">
        <f>'Opening Balance Sheet'!D49</f>
        <v>Retained Profits</v>
      </c>
      <c r="G49" s="103" t="str">
        <f t="shared" si="7"/>
        <v>US$'000</v>
      </c>
      <c r="H49" s="103"/>
      <c r="J49" s="138">
        <f ca="1">SUM(J46:J48)</f>
        <v>286.81605593893698</v>
      </c>
      <c r="K49" s="138">
        <f ca="1">SUM(K46:K48)</f>
        <v>322.0901218323279</v>
      </c>
      <c r="L49" s="138">
        <f t="shared" ref="L49:N49" ca="1" si="8">SUM(L46:L48)</f>
        <v>351.95510944111442</v>
      </c>
      <c r="M49" s="138">
        <f t="shared" ca="1" si="8"/>
        <v>380.56138161165751</v>
      </c>
      <c r="N49" s="138">
        <f t="shared" ca="1" si="8"/>
        <v>415.99031713928935</v>
      </c>
      <c r="Q49" s="103"/>
    </row>
    <row r="50" spans="3:17" ht="12.75" thickBot="1" x14ac:dyDescent="0.25">
      <c r="C50" s="66" t="str">
        <f>'Opening Balance Sheet'!C50</f>
        <v xml:space="preserve">Total Equity </v>
      </c>
      <c r="D50" s="66"/>
      <c r="G50" s="103" t="str">
        <f t="shared" si="7"/>
        <v>US$'000</v>
      </c>
      <c r="H50" s="103"/>
      <c r="J50" s="156">
        <f ca="1">J45+J49</f>
        <v>601.81605593893698</v>
      </c>
      <c r="K50" s="156">
        <f t="shared" ref="K50:N50" ca="1" si="9">K45+K49</f>
        <v>662.0901218323279</v>
      </c>
      <c r="L50" s="156">
        <f t="shared" ca="1" si="9"/>
        <v>686.95510944111447</v>
      </c>
      <c r="M50" s="156">
        <f t="shared" ca="1" si="9"/>
        <v>720.56138161165745</v>
      </c>
      <c r="N50" s="156">
        <f t="shared" ca="1" si="9"/>
        <v>735.99031713928935</v>
      </c>
    </row>
    <row r="51" spans="3:17" ht="12.75" thickTop="1" x14ac:dyDescent="0.2">
      <c r="C51" s="152"/>
    </row>
    <row r="52" spans="3:17" x14ac:dyDescent="0.2">
      <c r="C52" s="152"/>
    </row>
    <row r="53" spans="3:17" x14ac:dyDescent="0.2">
      <c r="C53" s="152" t="str">
        <f>'Opening Balance Sheet'!C53</f>
        <v>Checks</v>
      </c>
    </row>
    <row r="54" spans="3:17" x14ac:dyDescent="0.2">
      <c r="C54" s="152"/>
    </row>
    <row r="55" spans="3:17" x14ac:dyDescent="0.2">
      <c r="C55" s="152"/>
      <c r="D55" s="92" t="str">
        <f>'Opening Balance Sheet'!D55</f>
        <v>PF Error Check</v>
      </c>
      <c r="G55" s="103" t="str">
        <f>Boolean</f>
        <v>[1,0]</v>
      </c>
      <c r="H55" s="103"/>
      <c r="I55" s="96">
        <f ca="1">MIN(SUM($J55:$N55),1)</f>
        <v>0</v>
      </c>
      <c r="J55" s="153">
        <f ca="1">IF(ISERROR(J41-J50),1,0)</f>
        <v>0</v>
      </c>
      <c r="K55" s="153">
        <f ca="1">IF(ISERROR(K41-K50),1,0)</f>
        <v>0</v>
      </c>
      <c r="L55" s="153">
        <f ca="1">IF(ISERROR(L41-L50),1,0)</f>
        <v>0</v>
      </c>
      <c r="M55" s="153">
        <f ca="1">IF(ISERROR(M41-M50),1,0)</f>
        <v>0</v>
      </c>
      <c r="N55" s="153">
        <f ca="1">IF(ISERROR(N41-N50),1,0)</f>
        <v>0</v>
      </c>
    </row>
    <row r="56" spans="3:17" x14ac:dyDescent="0.2">
      <c r="C56" s="152"/>
      <c r="D56" s="92" t="str">
        <f>'Opening Balance Sheet'!D56</f>
        <v>Balance Check</v>
      </c>
      <c r="G56" s="103" t="str">
        <f>Boolean</f>
        <v>[1,0]</v>
      </c>
      <c r="H56" s="103"/>
      <c r="I56" s="96">
        <f ca="1">MIN(SUM($J56:$N56),1)</f>
        <v>0</v>
      </c>
      <c r="J56" s="153">
        <f ca="1">IF(J55&lt;&gt;0,0,(ROUND(J41-J50,Rounding_Accuracy)&lt;&gt;0)*1)</f>
        <v>0</v>
      </c>
      <c r="K56" s="153">
        <f ca="1">IF(K55&lt;&gt;0,0,(ROUND(K41-K50,Rounding_Accuracy)&lt;&gt;0)*1)</f>
        <v>0</v>
      </c>
      <c r="L56" s="153">
        <f ca="1">IF(L55&lt;&gt;0,0,(ROUND(L41-L50,Rounding_Accuracy)&lt;&gt;0)*1)</f>
        <v>0</v>
      </c>
      <c r="M56" s="153">
        <f ca="1">IF(M55&lt;&gt;0,0,(ROUND(M41-M50,Rounding_Accuracy)&lt;&gt;0)*1)</f>
        <v>0</v>
      </c>
      <c r="N56" s="153">
        <f ca="1">IF(N55&lt;&gt;0,0,(ROUND(N41-N50,Rounding_Accuracy)&lt;&gt;0)*1)</f>
        <v>0</v>
      </c>
    </row>
    <row r="57" spans="3:17" x14ac:dyDescent="0.2">
      <c r="D57" s="92" t="str">
        <f>'Opening Balance Sheet'!D57</f>
        <v>Insolvency Check</v>
      </c>
      <c r="G57" s="103" t="str">
        <f>Boolean</f>
        <v>[1,0]</v>
      </c>
      <c r="H57" s="103"/>
      <c r="I57" s="96">
        <f ca="1">MIN(SUM($J57:$N57),1)</f>
        <v>0</v>
      </c>
      <c r="J57" s="153">
        <f ca="1">IF(AND(J55=0,J56=0),(J41&lt;0)*1,0)</f>
        <v>0</v>
      </c>
      <c r="K57" s="153">
        <f t="shared" ref="K57:N57" ca="1" si="10">IF(AND(K55=0,K56=0),(K41&lt;0)*1,0)</f>
        <v>0</v>
      </c>
      <c r="L57" s="153">
        <f t="shared" ca="1" si="10"/>
        <v>0</v>
      </c>
      <c r="M57" s="153">
        <f t="shared" ca="1" si="10"/>
        <v>0</v>
      </c>
      <c r="N57" s="153">
        <f t="shared" ca="1" si="10"/>
        <v>0</v>
      </c>
    </row>
    <row r="58" spans="3:17" x14ac:dyDescent="0.2">
      <c r="H58" s="154"/>
      <c r="I58" s="154"/>
      <c r="J58" s="154"/>
      <c r="K58" s="154"/>
    </row>
  </sheetData>
  <conditionalFormatting sqref="G10 G4">
    <cfRule type="cellIs" dxfId="14" priority="2" operator="notEqual">
      <formula>0</formula>
    </cfRule>
  </conditionalFormatting>
  <conditionalFormatting sqref="I55:N57">
    <cfRule type="cellIs" dxfId="13" priority="1" operator="notEqual">
      <formula>0</formula>
    </cfRule>
  </conditionalFormatting>
  <hyperlinks>
    <hyperlink ref="A3:E3" location="HL_Navigator" tooltip="Go to Navigator (Table of Contents)" display="Navigator" xr:uid="{00000000-0004-0000-0800-000000000000}"/>
    <hyperlink ref="A3" location="HL_Navigator" display="Navigator" xr:uid="{00000000-0004-0000-0800-000001000000}"/>
    <hyperlink ref="G4" location="Overall_Error_Check" tooltip="Go to Overall Error Check" display="Overall_Error_Check" xr:uid="{00000000-0004-0000-08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48</vt:i4>
      </vt:variant>
    </vt:vector>
  </HeadingPairs>
  <TitlesOfParts>
    <vt:vector size="65" baseType="lpstr">
      <vt:lpstr>Cover</vt:lpstr>
      <vt:lpstr>Navigator</vt:lpstr>
      <vt:lpstr>Style Guide</vt:lpstr>
      <vt:lpstr>Model Parameters</vt:lpstr>
      <vt:lpstr>General Assumptions</vt:lpstr>
      <vt:lpstr>Calculations</vt:lpstr>
      <vt:lpstr>Opening Balance Sheet</vt:lpstr>
      <vt:lpstr>Income Statement</vt:lpstr>
      <vt:lpstr>Balance Sheet</vt:lpstr>
      <vt:lpstr>Cash Flow Statement</vt:lpstr>
      <vt:lpstr>FCFF (End)</vt:lpstr>
      <vt:lpstr>FCFF (Mid)</vt:lpstr>
      <vt:lpstr>FCFE</vt:lpstr>
      <vt:lpstr>Error Checks</vt:lpstr>
      <vt:lpstr>Timing</vt:lpstr>
      <vt:lpstr>Lookup</vt:lpstr>
      <vt:lpstr>Change Log</vt:lpstr>
      <vt:lpstr>Balance_Sheet</vt:lpstr>
      <vt:lpstr>Boolean</vt:lpstr>
      <vt:lpstr>Cash_Flow_Statement</vt:lpstr>
      <vt:lpstr>Client_Name</vt:lpstr>
      <vt:lpstr>Currency</vt:lpstr>
      <vt:lpstr>Days_in_Yr</vt:lpstr>
      <vt:lpstr>Example_Reporting_Month</vt:lpstr>
      <vt:lpstr>HL_1</vt:lpstr>
      <vt:lpstr>HL_10</vt:lpstr>
      <vt:lpstr>HL_11</vt:lpstr>
      <vt:lpstr>HL_12</vt:lpstr>
      <vt:lpstr>HL_13</vt:lpstr>
      <vt:lpstr>HL_14</vt:lpstr>
      <vt:lpstr>HL_15</vt:lpstr>
      <vt:lpstr>HL_16</vt:lpstr>
      <vt:lpstr>HL_17</vt:lpstr>
      <vt:lpstr>HL_3</vt:lpstr>
      <vt:lpstr>HL_4</vt:lpstr>
      <vt:lpstr>HL_5</vt:lpstr>
      <vt:lpstr>HL_6</vt:lpstr>
      <vt:lpstr>HL_7</vt:lpstr>
      <vt:lpstr>HL_8</vt:lpstr>
      <vt:lpstr>HL_9</vt:lpstr>
      <vt:lpstr>HL_Model_Parameters</vt:lpstr>
      <vt:lpstr>HL_Navigator</vt:lpstr>
      <vt:lpstr>Income_Statement</vt:lpstr>
      <vt:lpstr>LU_Future_Years</vt:lpstr>
      <vt:lpstr>Macro_NavHeading</vt:lpstr>
      <vt:lpstr>Model_Name</vt:lpstr>
      <vt:lpstr>Model_Start_Date</vt:lpstr>
      <vt:lpstr>Months_in_Half_Yr</vt:lpstr>
      <vt:lpstr>Months_in_Month</vt:lpstr>
      <vt:lpstr>Months_in_Qtr</vt:lpstr>
      <vt:lpstr>Months_in_Year</vt:lpstr>
      <vt:lpstr>Multiplier</vt:lpstr>
      <vt:lpstr>No_of_Days</vt:lpstr>
      <vt:lpstr>No_of_Years</vt:lpstr>
      <vt:lpstr>Overall_Error_Check</vt:lpstr>
      <vt:lpstr>Percentage</vt:lpstr>
      <vt:lpstr>Periodicity</vt:lpstr>
      <vt:lpstr>Quarters_in_Year</vt:lpstr>
      <vt:lpstr>Reporting_Month_Factor</vt:lpstr>
      <vt:lpstr>Rounding_Accuracy</vt:lpstr>
      <vt:lpstr>Thousand</vt:lpstr>
      <vt:lpstr>Unit</vt:lpstr>
      <vt:lpstr>Very_Large_Number</vt:lpstr>
      <vt:lpstr>Very_Small_Number</vt:lpstr>
      <vt:lpstr>Year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cp:lastPrinted>2016-01-20T05:12:08Z</cp:lastPrinted>
  <dcterms:created xsi:type="dcterms:W3CDTF">2012-10-20T20:39:47Z</dcterms:created>
  <dcterms:modified xsi:type="dcterms:W3CDTF">2020-05-26T16:27:28Z</dcterms:modified>
</cp:coreProperties>
</file>