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nanical Modelling Book\Volume 02\Chapter Debt\"/>
    </mc:Choice>
  </mc:AlternateContent>
  <xr:revisionPtr revIDLastSave="0" documentId="13_ncr:1_{27600F03-9D89-4512-A213-4DA11A313CB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Interest Assumptions" sheetId="10" r:id="rId4"/>
    <sheet name="Simple Monthly Rate" sheetId="14" r:id="rId5"/>
    <sheet name="Compounding Monthly Rate" sheetId="13" r:id="rId6"/>
    <sheet name="Correct Interest Rate" sheetId="12" r:id="rId7"/>
    <sheet name="Model Parameters" sheetId="2" r:id="rId8"/>
    <sheet name="Lookup Data" sheetId="11" r:id="rId9"/>
    <sheet name="Timing" sheetId="6" r:id="rId10"/>
    <sheet name="Error Checks" sheetId="5" r:id="rId11"/>
  </sheets>
  <definedNames>
    <definedName name="Client_Name">'Model Parameters'!$G$12</definedName>
    <definedName name="Compounding_Monthly_Rate">'Interest Assumptions'!$I$23</definedName>
    <definedName name="Correct_Monthly_Interest_Rate">'Interest Assumptions'!$I$14</definedName>
    <definedName name="Days_in_Year">'Model Parameters'!$G$19</definedName>
    <definedName name="Effective_Annual_Interest_Rate">'Interest Assumptions'!$I$12</definedName>
    <definedName name="Example_Reporting_Month">Timing!$H$19</definedName>
    <definedName name="HL_1">Cover!$A$3</definedName>
    <definedName name="HL_10">Timing!$A$3</definedName>
    <definedName name="HL_11">'Error Checks'!$A$3</definedName>
    <definedName name="HL_3">'Style Guide'!$A$3</definedName>
    <definedName name="HL_4">'Interest Assumptions'!$A$3</definedName>
    <definedName name="HL_5">'Correct Interest Rate'!$A$3</definedName>
    <definedName name="HL_6">'Compounding Monthly Rate'!$A$3</definedName>
    <definedName name="HL_7">'Simple Monthly Rate'!$A$3</definedName>
    <definedName name="HL_8">'Model Parameters'!$A$3</definedName>
    <definedName name="HL_9">'Lookup Data'!$A$3</definedName>
    <definedName name="HL_Correct_Rate_Check">'Correct Interest Rate'!$J$27</definedName>
    <definedName name="HL_Model_Parameters">'Model Parameters'!$A$5</definedName>
    <definedName name="HL_Navigator">Navigator!$A$1</definedName>
    <definedName name="LU_Payment_Frequency">'Lookup Data'!$F$11:$F$16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Payment_Frequency">'Interest Assumptions'!$I$10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Simple_Monthly_Rate">'Interest Assumptions'!$I$25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4" l="1"/>
  <c r="D25" i="14"/>
  <c r="K17" i="14"/>
  <c r="L17" i="14" s="1"/>
  <c r="J17" i="14"/>
  <c r="I10" i="14"/>
  <c r="D10" i="14"/>
  <c r="D27" i="14" s="1"/>
  <c r="B6" i="14"/>
  <c r="A1" i="14"/>
  <c r="C6" i="14" s="1"/>
  <c r="I25" i="13"/>
  <c r="D25" i="13"/>
  <c r="K17" i="13"/>
  <c r="L17" i="13" s="1"/>
  <c r="M17" i="13" s="1"/>
  <c r="J17" i="13"/>
  <c r="I10" i="13"/>
  <c r="D10" i="13"/>
  <c r="D27" i="13" s="1"/>
  <c r="B6" i="13"/>
  <c r="A1" i="13"/>
  <c r="C6" i="13" s="1"/>
  <c r="I25" i="12"/>
  <c r="D25" i="12"/>
  <c r="J17" i="12"/>
  <c r="J18" i="12" s="1"/>
  <c r="I10" i="12"/>
  <c r="D10" i="12"/>
  <c r="D27" i="12" s="1"/>
  <c r="B6" i="12"/>
  <c r="A1" i="12"/>
  <c r="C6" i="12" s="1"/>
  <c r="I25" i="10"/>
  <c r="I12" i="14" s="1"/>
  <c r="I23" i="10"/>
  <c r="I12" i="13" s="1"/>
  <c r="I14" i="10"/>
  <c r="F10" i="11"/>
  <c r="B6" i="11"/>
  <c r="A1" i="11"/>
  <c r="B6" i="10"/>
  <c r="A1" i="10"/>
  <c r="C6" i="10" s="1"/>
  <c r="K14" i="10"/>
  <c r="K17" i="12" l="1"/>
  <c r="L17" i="12" s="1"/>
  <c r="M17" i="12" s="1"/>
  <c r="N17" i="12" s="1"/>
  <c r="O17" i="12" s="1"/>
  <c r="P17" i="12" s="1"/>
  <c r="Q17" i="12" s="1"/>
  <c r="R17" i="12" s="1"/>
  <c r="S17" i="12" s="1"/>
  <c r="T17" i="12" s="1"/>
  <c r="U17" i="12" s="1"/>
  <c r="I12" i="12"/>
  <c r="J19" i="12" s="1"/>
  <c r="M17" i="14"/>
  <c r="J18" i="14"/>
  <c r="N17" i="13"/>
  <c r="J18" i="13"/>
  <c r="I21" i="10"/>
  <c r="J9" i="6"/>
  <c r="K9" i="6" s="1"/>
  <c r="L9" i="6" s="1"/>
  <c r="M9" i="6" s="1"/>
  <c r="H21" i="6"/>
  <c r="H15" i="6"/>
  <c r="I19" i="6" s="1"/>
  <c r="J20" i="12" l="1"/>
  <c r="J19" i="14"/>
  <c r="J20" i="14" s="1"/>
  <c r="N17" i="14"/>
  <c r="J19" i="13"/>
  <c r="J20" i="13" s="1"/>
  <c r="O17" i="13"/>
  <c r="N9" i="6"/>
  <c r="J6" i="6"/>
  <c r="J7" i="6" s="1"/>
  <c r="J21" i="12" l="1"/>
  <c r="K18" i="12" s="1"/>
  <c r="K19" i="12" s="1"/>
  <c r="K20" i="12" s="1"/>
  <c r="O17" i="14"/>
  <c r="J21" i="14"/>
  <c r="K18" i="14" s="1"/>
  <c r="P17" i="13"/>
  <c r="J21" i="13"/>
  <c r="K18" i="13" s="1"/>
  <c r="J5" i="6"/>
  <c r="K6" i="6"/>
  <c r="K7" i="6" s="1"/>
  <c r="K21" i="12" l="1"/>
  <c r="L18" i="12" s="1"/>
  <c r="L19" i="12" s="1"/>
  <c r="L20" i="12" s="1"/>
  <c r="K19" i="14"/>
  <c r="K20" i="14" s="1"/>
  <c r="P17" i="14"/>
  <c r="K19" i="13"/>
  <c r="K20" i="13" s="1"/>
  <c r="Q17" i="13"/>
  <c r="K5" i="6"/>
  <c r="L6" i="6"/>
  <c r="L7" i="6" s="1"/>
  <c r="L21" i="12" l="1"/>
  <c r="M18" i="12" s="1"/>
  <c r="Q17" i="14"/>
  <c r="K21" i="14"/>
  <c r="L18" i="14" s="1"/>
  <c r="R17" i="13"/>
  <c r="K21" i="13"/>
  <c r="L18" i="13" s="1"/>
  <c r="L5" i="6"/>
  <c r="M6" i="6"/>
  <c r="M7" i="6" s="1"/>
  <c r="M19" i="12" l="1"/>
  <c r="M20" i="12" s="1"/>
  <c r="M21" i="12" s="1"/>
  <c r="N18" i="12" s="1"/>
  <c r="N19" i="12" s="1"/>
  <c r="R17" i="14"/>
  <c r="L19" i="14"/>
  <c r="L19" i="13"/>
  <c r="S17" i="13"/>
  <c r="M5" i="6"/>
  <c r="N6" i="6"/>
  <c r="N7" i="6" s="1"/>
  <c r="N5" i="6" s="1"/>
  <c r="N20" i="12" l="1"/>
  <c r="L20" i="14"/>
  <c r="S17" i="14"/>
  <c r="T17" i="13"/>
  <c r="L20" i="13"/>
  <c r="B11" i="6"/>
  <c r="A1" i="6"/>
  <c r="N21" i="12" l="1"/>
  <c r="O18" i="12" s="1"/>
  <c r="O19" i="12" s="1"/>
  <c r="O20" i="12" s="1"/>
  <c r="T17" i="14"/>
  <c r="L21" i="14"/>
  <c r="M18" i="14" s="1"/>
  <c r="U17" i="13"/>
  <c r="L21" i="13"/>
  <c r="M18" i="13" s="1"/>
  <c r="A1" i="5"/>
  <c r="O21" i="12" l="1"/>
  <c r="P18" i="12" s="1"/>
  <c r="P19" i="12" s="1"/>
  <c r="P20" i="12" s="1"/>
  <c r="U17" i="14"/>
  <c r="M19" i="14"/>
  <c r="M19" i="13"/>
  <c r="M20" i="13" s="1"/>
  <c r="I37" i="4"/>
  <c r="P21" i="12" l="1"/>
  <c r="Q18" i="12" s="1"/>
  <c r="Q19" i="12" s="1"/>
  <c r="Q20" i="12" s="1"/>
  <c r="M20" i="14"/>
  <c r="M21" i="14" s="1"/>
  <c r="N18" i="14" s="1"/>
  <c r="N19" i="14" s="1"/>
  <c r="M21" i="13"/>
  <c r="N18" i="13" s="1"/>
  <c r="A1" i="2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4" s="1"/>
  <c r="B6" i="2"/>
  <c r="B15" i="2" s="1"/>
  <c r="Q21" i="12" l="1"/>
  <c r="R18" i="12" s="1"/>
  <c r="R19" i="12" s="1"/>
  <c r="R20" i="12" s="1"/>
  <c r="N20" i="14"/>
  <c r="N21" i="14" s="1"/>
  <c r="O18" i="14" s="1"/>
  <c r="O19" i="14" s="1"/>
  <c r="N19" i="13"/>
  <c r="N20" i="13" s="1"/>
  <c r="A2" i="12"/>
  <c r="A2" i="13"/>
  <c r="A2" i="10"/>
  <c r="A2" i="11"/>
  <c r="A2" i="6"/>
  <c r="A2" i="2"/>
  <c r="A2" i="5"/>
  <c r="B56" i="4"/>
  <c r="A2" i="4"/>
  <c r="A2" i="3"/>
  <c r="C6" i="1"/>
  <c r="J8" i="6"/>
  <c r="K8" i="6"/>
  <c r="L8" i="6"/>
  <c r="M8" i="6"/>
  <c r="N8" i="6"/>
  <c r="R21" i="12" l="1"/>
  <c r="S18" i="12" s="1"/>
  <c r="O20" i="14"/>
  <c r="N21" i="13"/>
  <c r="O18" i="13" s="1"/>
  <c r="S19" i="12" l="1"/>
  <c r="O21" i="14"/>
  <c r="P18" i="14" s="1"/>
  <c r="O19" i="13"/>
  <c r="O20" i="13" s="1"/>
  <c r="S20" i="12" l="1"/>
  <c r="P19" i="14"/>
  <c r="O21" i="13"/>
  <c r="P18" i="13" s="1"/>
  <c r="P20" i="14" l="1"/>
  <c r="P21" i="14" s="1"/>
  <c r="Q18" i="14" s="1"/>
  <c r="Q19" i="14" s="1"/>
  <c r="S21" i="12"/>
  <c r="T18" i="12" s="1"/>
  <c r="P19" i="13"/>
  <c r="P20" i="13" l="1"/>
  <c r="T19" i="12"/>
  <c r="Q20" i="14"/>
  <c r="Q21" i="14" s="1"/>
  <c r="R18" i="14" s="1"/>
  <c r="R19" i="14" s="1"/>
  <c r="R20" i="14" s="1"/>
  <c r="T20" i="12" l="1"/>
  <c r="P21" i="13"/>
  <c r="Q18" i="13" s="1"/>
  <c r="Q19" i="13" s="1"/>
  <c r="Q20" i="13" s="1"/>
  <c r="R21" i="14"/>
  <c r="S18" i="14" s="1"/>
  <c r="Q21" i="13" l="1"/>
  <c r="R18" i="13" s="1"/>
  <c r="R19" i="13" s="1"/>
  <c r="R20" i="13" s="1"/>
  <c r="T21" i="12"/>
  <c r="U18" i="12" s="1"/>
  <c r="U19" i="12" s="1"/>
  <c r="I24" i="12" s="1"/>
  <c r="I27" i="12" s="1"/>
  <c r="J27" i="12" s="1"/>
  <c r="I12" i="5" s="1"/>
  <c r="I17" i="5" s="1"/>
  <c r="S19" i="14"/>
  <c r="R21" i="13" l="1"/>
  <c r="S18" i="13" s="1"/>
  <c r="S19" i="13" s="1"/>
  <c r="S20" i="13" s="1"/>
  <c r="U20" i="12"/>
  <c r="U21" i="12" s="1"/>
  <c r="I4" i="14"/>
  <c r="I4" i="13"/>
  <c r="G4" i="3"/>
  <c r="F4" i="5"/>
  <c r="I4" i="4"/>
  <c r="I4" i="2"/>
  <c r="F4" i="6"/>
  <c r="I4" i="10"/>
  <c r="I4" i="12"/>
  <c r="I4" i="11"/>
  <c r="S20" i="14"/>
  <c r="S21" i="14" l="1"/>
  <c r="T18" i="14" s="1"/>
  <c r="T19" i="14" s="1"/>
  <c r="T20" i="14" s="1"/>
  <c r="S21" i="13"/>
  <c r="T18" i="13" s="1"/>
  <c r="T19" i="13" s="1"/>
  <c r="T20" i="13" l="1"/>
  <c r="T21" i="13" s="1"/>
  <c r="U18" i="13" s="1"/>
  <c r="U19" i="13" s="1"/>
  <c r="T21" i="14"/>
  <c r="U18" i="14" s="1"/>
  <c r="U19" i="14" s="1"/>
  <c r="I24" i="14" s="1"/>
  <c r="I27" i="14" s="1"/>
  <c r="J27" i="14" s="1"/>
  <c r="U20" i="14" l="1"/>
  <c r="U21" i="14" s="1"/>
  <c r="I24" i="13"/>
  <c r="I27" i="13" s="1"/>
  <c r="J27" i="13" s="1"/>
  <c r="U20" i="13"/>
  <c r="U21" i="13" s="1"/>
</calcChain>
</file>

<file path=xl/sharedStrings.xml><?xml version="1.0" encoding="utf-8"?>
<sst xmlns="http://schemas.openxmlformats.org/spreadsheetml/2006/main" count="201" uniqueCount="109">
  <si>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</si>
  <si>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</si>
  <si>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</si>
  <si>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</si>
  <si>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</si>
  <si>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</si>
  <si>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</si>
  <si>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</si>
  <si>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</si>
  <si>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</si>
  <si>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</si>
  <si>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</si>
  <si>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</si>
  <si>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</si>
  <si>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</si>
  <si>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</si>
  <si>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</si>
  <si>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</si>
  <si>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</si>
  <si>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</si>
  <si>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</si>
  <si>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</si>
  <si>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</si>
  <si>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</si>
  <si>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</si>
  <si>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</si>
  <si>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</si>
  <si>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</si>
  <si>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</si>
  <si>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</si>
  <si>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</si>
  <si>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</si>
  <si>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</si>
  <si>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</si>
  <si>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</si>
  <si>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</si>
  <si>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</si>
  <si>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</si>
  <si>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</si>
  <si>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</si>
  <si>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</si>
  <si>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</si>
  <si>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</si>
  <si>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</si>
  <si>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</si>
  <si>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</si>
  <si>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</si>
  <si>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</si>
  <si>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</si>
  <si>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</si>
  <si>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</si>
  <si>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</si>
  <si>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</si>
  <si>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</si>
  <si>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</si>
  <si>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</si>
  <si>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</si>
  <si>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</si>
  <si>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</si>
  <si>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</si>
  <si>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</si>
  <si>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</si>
  <si>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</si>
  <si>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</si>
  <si>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</si>
  <si>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</si>
  <si>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</si>
  <si>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</si>
  <si>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</si>
  <si>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</si>
  <si>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</si>
  <si>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</si>
  <si>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</si>
  <si>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</si>
  <si>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</si>
  <si>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</si>
  <si>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</si>
  <si>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</si>
  <si>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</si>
  <si>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</si>
  <si>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</si>
  <si>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</si>
  <si>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Summary</t>
  </si>
  <si>
    <t>SumProduct Pty Ltd</t>
  </si>
  <si>
    <t>Payment Frequency</t>
  </si>
  <si>
    <t>Lookup Data</t>
  </si>
  <si>
    <t>LU_Payment_Frequency</t>
  </si>
  <si>
    <t># Months</t>
  </si>
  <si>
    <t>Effective Interest Rate</t>
  </si>
  <si>
    <t>% p.a.</t>
  </si>
  <si>
    <t>Interest Per Month</t>
  </si>
  <si>
    <t>% p.m.</t>
  </si>
  <si>
    <t>For Comparison Only</t>
  </si>
  <si>
    <t>Correct Monthly Rate</t>
  </si>
  <si>
    <t>Compounding Monthly Rate</t>
  </si>
  <si>
    <t>Simple Monthly Rate</t>
  </si>
  <si>
    <t>Demonstration</t>
  </si>
  <si>
    <t>Rate Used</t>
  </si>
  <si>
    <t>Opening Balance Assumed</t>
  </si>
  <si>
    <t>$</t>
  </si>
  <si>
    <t>Opening Balance</t>
  </si>
  <si>
    <t>Interest Accrued</t>
  </si>
  <si>
    <t>Interest Paid</t>
  </si>
  <si>
    <t>Closing Balance</t>
  </si>
  <si>
    <t>Total Interest For Year</t>
  </si>
  <si>
    <t>Correct Rate Check</t>
  </si>
  <si>
    <t>Interest Assumptions</t>
  </si>
  <si>
    <t>Correct Interest Rate</t>
  </si>
  <si>
    <t>This file provides examples of periodic interest rates calculated from an annual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</si>
</sst>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0.0000%"/>
    <numFmt numFmtId="181" formatCode="&quot;Month &quot;0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10"/>
      <color theme="0" tint="-0.499984740745262"/>
      <name val="Calibri"/>
      <family val="2"/>
      <scheme val="minor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7" fillId="0" borderId="3" applyNumberFormat="0" applyAlignment="0">
      <alignment horizontal="center"/>
    </xf>
    <xf numFmtId="0" fontId="24" fillId="4" borderId="7" applyNumberFormat="0" applyAlignment="0">
      <protection locked="0"/>
    </xf>
    <xf numFmtId="0" fontId="3" fillId="0" borderId="0" applyNumberFormat="0" applyFill="0" applyBorder="0"/>
    <xf numFmtId="179" fontId="22" fillId="0" borderId="0" applyFill="0" applyBorder="0" applyProtection="0">
      <alignment horizontal="center"/>
    </xf>
    <xf numFmtId="178" fontId="23" fillId="0" borderId="0" applyFill="0" applyBorder="0" applyProtection="0">
      <alignment horizontal="center"/>
    </xf>
    <xf numFmtId="167" fontId="1" fillId="5" borderId="7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8" applyNumberFormat="0" applyAlignment="0"/>
    <xf numFmtId="41" fontId="1" fillId="0" borderId="9" applyNumberFormat="0" applyFont="0" applyFill="0" applyAlignment="0"/>
    <xf numFmtId="168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68" fontId="1" fillId="0" borderId="0" applyFont="0" applyFill="0" applyBorder="0" applyAlignment="0" applyProtection="0"/>
    <xf numFmtId="0" fontId="25" fillId="7" borderId="2" applyNumberFormat="0" applyAlignment="0" applyProtection="0"/>
    <xf numFmtId="0" fontId="31" fillId="0" borderId="0" applyNumberFormat="0" applyFill="0" applyBorder="0" applyAlignment="0" applyProtection="0"/>
    <xf numFmtId="169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71" fontId="28" fillId="7" borderId="7">
      <alignment horizontal="center"/>
    </xf>
    <xf numFmtId="41" fontId="5" fillId="8" borderId="8" applyFont="0" applyAlignment="0"/>
    <xf numFmtId="0" fontId="12" fillId="11" borderId="0" applyNumberFormat="0">
      <alignment horizontal="center"/>
    </xf>
    <xf numFmtId="0" fontId="29" fillId="0" borderId="0" applyNumberFormat="0" applyFill="0" applyBorder="0" applyProtection="0">
      <alignment horizontal="center"/>
    </xf>
    <xf numFmtId="0" fontId="30" fillId="9" borderId="12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3" applyNumberFormat="0" applyFill="0" applyAlignment="0" applyProtection="0"/>
    <xf numFmtId="0" fontId="18" fillId="0" borderId="14" applyNumberFormat="0" applyFill="0" applyAlignment="0" applyProtection="0"/>
    <xf numFmtId="0" fontId="17" fillId="0" borderId="15" applyNumberFormat="0" applyFill="0" applyAlignment="0" applyProtection="0"/>
    <xf numFmtId="172" fontId="15" fillId="3" borderId="1"/>
  </cellStyleXfs>
  <cellXfs count="91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5" fillId="3" borderId="1" xfId="10"/>
    <xf numFmtId="0" fontId="16" fillId="0" borderId="0" xfId="11" applyBorder="1"/>
    <xf numFmtId="0" fontId="17" fillId="0" borderId="0" xfId="12"/>
    <xf numFmtId="0" fontId="27" fillId="0" borderId="3" xfId="13" applyAlignment="1">
      <alignment horizontal="center"/>
    </xf>
    <xf numFmtId="166" fontId="27" fillId="0" borderId="3" xfId="13" applyNumberFormat="1" applyAlignment="1">
      <alignment horizontal="center"/>
    </xf>
    <xf numFmtId="0" fontId="8" fillId="0" borderId="0" xfId="0" applyFont="1"/>
    <xf numFmtId="0" fontId="9" fillId="0" borderId="0" xfId="12" applyFont="1" applyAlignment="1">
      <alignment horizontal="left" vertical="center"/>
    </xf>
    <xf numFmtId="0" fontId="10" fillId="0" borderId="0" xfId="0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2" fillId="11" borderId="0" xfId="33">
      <alignment horizontal="center"/>
    </xf>
    <xf numFmtId="0" fontId="0" fillId="0" borderId="0" xfId="0" applyBorder="1"/>
    <xf numFmtId="0" fontId="13" fillId="0" borderId="0" xfId="7" applyBorder="1"/>
    <xf numFmtId="0" fontId="0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9" applyBorder="1"/>
    <xf numFmtId="0" fontId="0" fillId="0" borderId="0" xfId="0" applyBorder="1" applyAlignment="1">
      <alignment horizontal="left"/>
    </xf>
    <xf numFmtId="0" fontId="17" fillId="0" borderId="0" xfId="12" applyBorder="1"/>
    <xf numFmtId="0" fontId="18" fillId="0" borderId="0" xfId="6" applyBorder="1"/>
    <xf numFmtId="0" fontId="32" fillId="0" borderId="0" xfId="25" applyBorder="1"/>
    <xf numFmtId="0" fontId="12" fillId="11" borderId="0" xfId="33" applyBorder="1">
      <alignment horizontal="center"/>
    </xf>
    <xf numFmtId="0" fontId="24" fillId="4" borderId="7" xfId="14">
      <protection locked="0"/>
    </xf>
    <xf numFmtId="0" fontId="11" fillId="0" borderId="0" xfId="0" applyFont="1" applyBorder="1"/>
    <xf numFmtId="0" fontId="27" fillId="0" borderId="3" xfId="13" applyAlignment="1"/>
    <xf numFmtId="167" fontId="1" fillId="5" borderId="7" xfId="18"/>
    <xf numFmtId="164" fontId="2" fillId="2" borderId="2" xfId="19">
      <alignment horizontal="center"/>
      <protection locked="0"/>
    </xf>
    <xf numFmtId="0" fontId="27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5" fillId="7" borderId="2" xfId="27"/>
    <xf numFmtId="0" fontId="31" fillId="0" borderId="0" xfId="28"/>
    <xf numFmtId="171" fontId="28" fillId="7" borderId="7" xfId="31">
      <alignment horizontal="center"/>
    </xf>
    <xf numFmtId="41" fontId="0" fillId="8" borderId="8" xfId="32" applyFont="1"/>
    <xf numFmtId="0" fontId="29" fillId="0" borderId="0" xfId="34">
      <alignment horizontal="center"/>
    </xf>
    <xf numFmtId="0" fontId="30" fillId="9" borderId="12" xfId="35">
      <protection locked="0"/>
    </xf>
    <xf numFmtId="41" fontId="0" fillId="0" borderId="0" xfId="2" applyFont="1"/>
    <xf numFmtId="168" fontId="0" fillId="0" borderId="0" xfId="26" applyFont="1"/>
    <xf numFmtId="9" fontId="0" fillId="0" borderId="0" xfId="5" applyFont="1"/>
    <xf numFmtId="0" fontId="0" fillId="0" borderId="0" xfId="0"/>
    <xf numFmtId="179" fontId="22" fillId="0" borderId="0" xfId="16">
      <alignment horizontal="center"/>
    </xf>
    <xf numFmtId="178" fontId="23" fillId="0" borderId="0" xfId="17">
      <alignment horizontal="center"/>
    </xf>
    <xf numFmtId="0" fontId="3" fillId="0" borderId="0" xfId="15"/>
    <xf numFmtId="164" fontId="15" fillId="3" borderId="1" xfId="10" applyNumberFormat="1" applyProtection="1">
      <protection locked="0"/>
    </xf>
    <xf numFmtId="165" fontId="15" fillId="3" borderId="1" xfId="10" applyNumberFormat="1"/>
    <xf numFmtId="0" fontId="0" fillId="0" borderId="0" xfId="0" applyBorder="1"/>
    <xf numFmtId="0" fontId="13" fillId="0" borderId="0" xfId="7"/>
    <xf numFmtId="0" fontId="14" fillId="0" borderId="0" xfId="9"/>
    <xf numFmtId="172" fontId="15" fillId="3" borderId="1" xfId="41"/>
    <xf numFmtId="41" fontId="24" fillId="4" borderId="7" xfId="14" applyNumberFormat="1">
      <protection locked="0"/>
    </xf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2" fillId="0" borderId="0" xfId="16" applyNumberFormat="1" applyBorder="1">
      <alignment horizontal="center"/>
    </xf>
    <xf numFmtId="178" fontId="23" fillId="0" borderId="0" xfId="17" applyNumberFormat="1" applyBorder="1">
      <alignment horizontal="center"/>
    </xf>
    <xf numFmtId="177" fontId="27" fillId="0" borderId="3" xfId="13" applyNumberFormat="1">
      <alignment horizontal="center"/>
    </xf>
    <xf numFmtId="41" fontId="25" fillId="0" borderId="3" xfId="2" applyFont="1" applyBorder="1" applyAlignment="1"/>
    <xf numFmtId="0" fontId="12" fillId="11" borderId="0" xfId="33">
      <alignment horizontal="center"/>
    </xf>
    <xf numFmtId="0" fontId="0" fillId="0" borderId="0" xfId="0"/>
    <xf numFmtId="168" fontId="25" fillId="0" borderId="3" xfId="26" applyFont="1" applyBorder="1" applyAlignment="1">
      <alignment horizontal="center"/>
    </xf>
    <xf numFmtId="0" fontId="29" fillId="0" borderId="0" xfId="34" quotePrefix="1">
      <alignment horizontal="center"/>
    </xf>
    <xf numFmtId="168" fontId="24" fillId="4" borderId="7" xfId="26" applyFont="1" applyFill="1" applyBorder="1" applyProtection="1">
      <protection locked="0"/>
    </xf>
    <xf numFmtId="168" fontId="24" fillId="4" borderId="7" xfId="26" applyFont="1" applyFill="1" applyBorder="1" applyAlignment="1" applyProtection="1">
      <alignment horizontal="center"/>
      <protection locked="0"/>
    </xf>
    <xf numFmtId="10" fontId="24" fillId="4" borderId="7" xfId="5" applyNumberFormat="1" applyFont="1" applyFill="1" applyBorder="1" applyAlignment="1" applyProtection="1">
      <alignment horizontal="center"/>
      <protection locked="0"/>
    </xf>
    <xf numFmtId="0" fontId="33" fillId="0" borderId="0" xfId="25" applyFont="1" applyBorder="1"/>
    <xf numFmtId="180" fontId="27" fillId="6" borderId="8" xfId="21" applyNumberFormat="1" applyAlignment="1">
      <alignment horizontal="center"/>
    </xf>
    <xf numFmtId="180" fontId="34" fillId="12" borderId="3" xfId="13" applyNumberFormat="1" applyFont="1" applyFill="1" applyAlignment="1">
      <alignment horizontal="center"/>
    </xf>
    <xf numFmtId="180" fontId="27" fillId="13" borderId="3" xfId="13" applyNumberFormat="1" applyFill="1" applyAlignment="1">
      <alignment horizontal="center"/>
    </xf>
    <xf numFmtId="180" fontId="27" fillId="10" borderId="3" xfId="13" applyNumberFormat="1" applyFill="1" applyAlignment="1">
      <alignment horizontal="center"/>
    </xf>
    <xf numFmtId="10" fontId="27" fillId="6" borderId="8" xfId="21" applyNumberFormat="1" applyAlignment="1">
      <alignment horizontal="center"/>
    </xf>
    <xf numFmtId="181" fontId="12" fillId="11" borderId="0" xfId="33" applyNumberFormat="1">
      <alignment horizontal="center"/>
    </xf>
    <xf numFmtId="168" fontId="23" fillId="0" borderId="10" xfId="26" applyFont="1" applyBorder="1"/>
    <xf numFmtId="0" fontId="23" fillId="0" borderId="0" xfId="0" applyFont="1"/>
    <xf numFmtId="164" fontId="2" fillId="10" borderId="2" xfId="0" applyNumberFormat="1" applyFont="1" applyFill="1" applyBorder="1" applyAlignment="1" applyProtection="1">
      <alignment horizontal="center"/>
    </xf>
    <xf numFmtId="0" fontId="26" fillId="0" borderId="0" xfId="8">
      <alignment horizontal="left"/>
      <protection locked="0"/>
    </xf>
    <xf numFmtId="0" fontId="0" fillId="0" borderId="0" xfId="0"/>
    <xf numFmtId="0" fontId="10" fillId="0" borderId="0" xfId="6" applyFont="1" applyAlignment="1">
      <alignment vertical="center"/>
    </xf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/>
    <xf numFmtId="0" fontId="0" fillId="0" borderId="0" xfId="0" applyBorder="1"/>
    <xf numFmtId="0" fontId="12" fillId="11" borderId="0" xfId="33">
      <alignment horizontal="center"/>
    </xf>
    <xf numFmtId="0" fontId="12" fillId="11" borderId="0" xfId="33" applyBorder="1">
      <alignment horizontal="center"/>
    </xf>
    <xf numFmtId="0" fontId="27" fillId="0" borderId="4" xfId="13" applyBorder="1" applyAlignment="1">
      <alignment horizontal="left"/>
    </xf>
    <xf numFmtId="0" fontId="27" fillId="0" borderId="5" xfId="13" applyBorder="1" applyAlignment="1">
      <alignment horizontal="left"/>
    </xf>
    <xf numFmtId="0" fontId="27" fillId="0" borderId="6" xfId="13" applyBorder="1" applyAlignment="1">
      <alignment horizontal="left"/>
    </xf>
    <xf numFmtId="0" fontId="24" fillId="4" borderId="7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9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78" t="s">
        <v>1</v>
      </c>
    </row>
    <row r="5" spans="1:19" ht="20.25" x14ac:dyDescent="0.3">
      <c r="C5" s="49" t="str">
        <f>Client_Name</f>
        <v>SumProduct Pty Ltd</v>
      </c>
      <c r="D5" s="8"/>
      <c r="E5" s="8"/>
      <c r="F5" s="8"/>
      <c r="G5" s="8"/>
      <c r="H5" s="8"/>
      <c r="I5" s="8"/>
      <c r="J5" s="8"/>
    </row>
    <row r="6" spans="1:19" ht="18" x14ac:dyDescent="0.25">
      <c r="C6" s="50" t="str">
        <f ca="1">Model_Name</f>
        <v>Chapter 6.2 - SP Interest Rates Example Model.xlsx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5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1" ht="12.75" x14ac:dyDescent="0.2">
      <c r="C17" s="80" t="s">
        <v>108</v>
      </c>
      <c r="D17" s="80"/>
      <c r="E17" s="80"/>
      <c r="F17" s="80"/>
      <c r="G17" s="80"/>
      <c r="H17" s="80"/>
      <c r="I17" s="80"/>
      <c r="J17" s="80"/>
      <c r="K17" s="79"/>
    </row>
    <row r="18" spans="3:11" ht="12.75" x14ac:dyDescent="0.2">
      <c r="C18" s="81"/>
      <c r="D18" s="81"/>
      <c r="E18" s="81"/>
      <c r="F18" s="81"/>
      <c r="G18" s="81"/>
      <c r="H18" s="81"/>
      <c r="I18" s="81"/>
      <c r="J18" s="81"/>
    </row>
    <row r="19" spans="3:11" ht="12.75" x14ac:dyDescent="0.2">
      <c r="C19" s="11"/>
      <c r="D19" s="10"/>
      <c r="E19" s="8"/>
      <c r="F19" s="8"/>
      <c r="G19" s="8"/>
      <c r="H19" s="8"/>
      <c r="I19" s="8"/>
      <c r="J19" s="8"/>
    </row>
    <row r="20" spans="3:11" ht="12.75" x14ac:dyDescent="0.2">
      <c r="C20" s="11"/>
      <c r="D20" s="10"/>
      <c r="E20" s="8"/>
      <c r="F20" s="8"/>
      <c r="G20" s="8"/>
      <c r="H20" s="8"/>
      <c r="I20" s="8"/>
      <c r="J20" s="8"/>
    </row>
    <row r="21" spans="3:11" ht="12.75" x14ac:dyDescent="0.2">
      <c r="C21" s="11" t="s">
        <v>21</v>
      </c>
      <c r="D21" s="10"/>
      <c r="E21" s="8"/>
      <c r="F21" s="8"/>
      <c r="G21" s="82" t="s">
        <v>22</v>
      </c>
      <c r="H21" s="82"/>
      <c r="I21" s="82"/>
      <c r="J21" s="8"/>
    </row>
    <row r="22" spans="3:11" ht="12.75" x14ac:dyDescent="0.2">
      <c r="C22" s="11" t="s">
        <v>23</v>
      </c>
      <c r="D22" s="10"/>
      <c r="E22" s="8"/>
      <c r="F22" s="8"/>
      <c r="G22" s="82" t="s">
        <v>24</v>
      </c>
      <c r="H22" s="82"/>
      <c r="I22" s="82"/>
      <c r="J22" s="8"/>
    </row>
  </sheetData>
  <mergeCells count="3"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  <pageSetUpPr fitToPage="1"/>
  </sheetPr>
  <dimension ref="A1:O23"/>
  <sheetViews>
    <sheetView showGridLines="0" workbookViewId="0">
      <pane ySplit="9" topLeftCell="A10" activePane="bottomLeft" state="frozen"/>
      <selection activeCell="C5" sqref="C5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s="42" customFormat="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Timing</v>
      </c>
      <c r="I1" s="82"/>
      <c r="J1" s="82"/>
    </row>
    <row r="2" spans="1:15" s="42" customFormat="1" ht="18" x14ac:dyDescent="0.25">
      <c r="A2" s="50" t="str">
        <f ca="1">Model_Name</f>
        <v>Chapter 6.2 - SP Interest Rates Example Model.xlsx</v>
      </c>
    </row>
    <row r="3" spans="1:15" s="42" customFormat="1" x14ac:dyDescent="0.2">
      <c r="A3" s="82" t="s">
        <v>1</v>
      </c>
      <c r="B3" s="82"/>
      <c r="C3" s="82"/>
      <c r="D3" s="82"/>
      <c r="E3" s="82"/>
    </row>
    <row r="4" spans="1:15" s="42" customFormat="1" ht="14.25" x14ac:dyDescent="0.2">
      <c r="B4" s="42" t="s">
        <v>2</v>
      </c>
      <c r="F4" s="1">
        <f>Overall_Error_Check</f>
        <v>0</v>
      </c>
    </row>
    <row r="5" spans="1:15" s="2" customFormat="1" x14ac:dyDescent="0.2">
      <c r="J5" s="44">
        <f ca="1">J$7</f>
        <v>44012</v>
      </c>
      <c r="K5" s="44">
        <f ca="1">K$7</f>
        <v>44104</v>
      </c>
      <c r="L5" s="44">
        <f ca="1">L$7</f>
        <v>44196</v>
      </c>
      <c r="M5" s="44">
        <f ca="1">M$7</f>
        <v>44286</v>
      </c>
      <c r="N5" s="44">
        <f ca="1">N$7</f>
        <v>44377</v>
      </c>
    </row>
    <row r="6" spans="1:15" s="42" customFormat="1" outlineLevel="1" x14ac:dyDescent="0.2">
      <c r="C6" s="2" t="s">
        <v>71</v>
      </c>
      <c r="J6" s="43">
        <f ca="1">IF(J$9=1,Model_Start_Date,I$7+1)</f>
        <v>43977</v>
      </c>
      <c r="K6" s="43">
        <f ca="1">IF(K$9=1,Model_Start_Date,J$7+1)</f>
        <v>44013</v>
      </c>
      <c r="L6" s="43">
        <f ca="1">IF(L$9=1,Model_Start_Date,K$7+1)</f>
        <v>44105</v>
      </c>
      <c r="M6" s="43">
        <f ca="1">IF(M$9=1,Model_Start_Date,L$7+1)</f>
        <v>44197</v>
      </c>
      <c r="N6" s="43">
        <f ca="1">IF(N$9=1,Model_Start_Date,M$7+1)</f>
        <v>44287</v>
      </c>
    </row>
    <row r="7" spans="1:15" s="42" customFormat="1" outlineLevel="1" x14ac:dyDescent="0.2">
      <c r="C7" s="2" t="s">
        <v>72</v>
      </c>
      <c r="J7" s="43">
        <f ca="1">EOMONTH(J$6,MOD(Periodicity+Reporting_Month_Factor-MONTH(J$6),Periodicity))</f>
        <v>44012</v>
      </c>
      <c r="K7" s="43">
        <f ca="1">EOMONTH(K$6,MOD(Periodicity+Reporting_Month_Factor-MONTH(K$6),Periodicity))</f>
        <v>44104</v>
      </c>
      <c r="L7" s="43">
        <f ca="1">EOMONTH(L$6,MOD(Periodicity+Reporting_Month_Factor-MONTH(L$6),Periodicity))</f>
        <v>44196</v>
      </c>
      <c r="M7" s="43">
        <f ca="1">EOMONTH(M$6,MOD(Periodicity+Reporting_Month_Factor-MONTH(M$6),Periodicity))</f>
        <v>44286</v>
      </c>
      <c r="N7" s="43">
        <f ca="1">EOMONTH(N$6,MOD(Periodicity+Reporting_Month_Factor-MONTH(N$6),Periodicity))</f>
        <v>44377</v>
      </c>
    </row>
    <row r="8" spans="1:15" s="42" customFormat="1" outlineLevel="1" x14ac:dyDescent="0.2">
      <c r="C8" s="2" t="s">
        <v>74</v>
      </c>
      <c r="J8" s="39">
        <f ca="1">J7-J6+1</f>
        <v>36</v>
      </c>
      <c r="K8" s="39">
        <f t="shared" ref="K8:N8" ca="1" si="0">K7-K6+1</f>
        <v>92</v>
      </c>
      <c r="L8" s="39">
        <f t="shared" ca="1" si="0"/>
        <v>92</v>
      </c>
      <c r="M8" s="39">
        <f t="shared" ca="1" si="0"/>
        <v>90</v>
      </c>
      <c r="N8" s="39">
        <f t="shared" ca="1" si="0"/>
        <v>91</v>
      </c>
    </row>
    <row r="9" spans="1:15" s="42" customFormat="1" ht="15" outlineLevel="1" x14ac:dyDescent="0.25">
      <c r="C9" s="2" t="s">
        <v>73</v>
      </c>
      <c r="I9" s="28"/>
      <c r="J9" s="39">
        <f>N(I$9)+1</f>
        <v>1</v>
      </c>
      <c r="K9" s="39">
        <f t="shared" ref="K9:N9" si="1">N(J$9)+1</f>
        <v>2</v>
      </c>
      <c r="L9" s="39">
        <f t="shared" si="1"/>
        <v>3</v>
      </c>
      <c r="M9" s="39">
        <f t="shared" si="1"/>
        <v>4</v>
      </c>
      <c r="N9" s="39">
        <f t="shared" si="1"/>
        <v>5</v>
      </c>
    </row>
    <row r="10" spans="1:15" s="42" customFormat="1" x14ac:dyDescent="0.2"/>
    <row r="11" spans="1:15" s="42" customFormat="1" ht="16.5" thickBot="1" x14ac:dyDescent="0.3">
      <c r="B11" s="51">
        <f>MAX($B$10:$B10)+1</f>
        <v>1</v>
      </c>
      <c r="C11" s="46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42" customFormat="1" ht="12.75" thickTop="1" x14ac:dyDescent="0.2"/>
    <row r="13" spans="1:15" s="42" customFormat="1" ht="16.5" x14ac:dyDescent="0.25">
      <c r="C13" s="4" t="s">
        <v>76</v>
      </c>
    </row>
    <row r="15" spans="1:15" x14ac:dyDescent="0.2">
      <c r="D15" t="s">
        <v>77</v>
      </c>
      <c r="H15" s="59">
        <f ca="1">TODAY()</f>
        <v>43977</v>
      </c>
    </row>
    <row r="17" spans="4:9" x14ac:dyDescent="0.2">
      <c r="D17" t="s">
        <v>78</v>
      </c>
      <c r="H17" s="52">
        <v>3</v>
      </c>
    </row>
    <row r="19" spans="4:9" ht="12.75" x14ac:dyDescent="0.2">
      <c r="D19" t="s">
        <v>79</v>
      </c>
      <c r="H19" s="52">
        <v>12</v>
      </c>
      <c r="I19" s="23" t="str">
        <f ca="1">"e.g. "&amp;TEXT(DATE(YEAR(Model_Start_Date)+IF(Example_Reporting_Month&lt;MONTH(Model_Start_Date),1,0),Example_Reporting_Month+1,1)-1,"dd-Mmm-yy")</f>
        <v>e.g. 31-Dec-20</v>
      </c>
    </row>
    <row r="21" spans="4:9" x14ac:dyDescent="0.2">
      <c r="D21" t="s">
        <v>80</v>
      </c>
      <c r="H21" s="40">
        <f>MOD(Example_Reporting_Month-1,Periodicity)+1</f>
        <v>3</v>
      </c>
    </row>
    <row r="23" spans="4:9" x14ac:dyDescent="0.2">
      <c r="D23" t="s">
        <v>81</v>
      </c>
      <c r="H23" s="60">
        <v>12</v>
      </c>
    </row>
  </sheetData>
  <mergeCells count="2">
    <mergeCell ref="I1:J1"/>
    <mergeCell ref="A3:E3"/>
  </mergeCells>
  <conditionalFormatting sqref="F4">
    <cfRule type="cellIs" dxfId="3" priority="1" operator="notEqual">
      <formula>0</formula>
    </cfRule>
  </conditionalFormatting>
  <dataValidations count="1">
    <dataValidation type="list" allowBlank="1" showInputMessage="1" showErrorMessage="1" sqref="H17" xr:uid="{00000000-0002-0000-0900-000000000000}">
      <formula1>"1,2,3,4,6,12"</formula1>
    </dataValidation>
  </dataValidations>
  <hyperlinks>
    <hyperlink ref="F4" location="Overall_Error_Check" tooltip="Go to Overall Error Check" display="Overall_Error_Check" xr:uid="{00000000-0004-0000-0900-000000000000}"/>
    <hyperlink ref="A3:E3" location="HL_Navigator" tooltip="Go to Navigator (Table of Contents)" display="Navigator" xr:uid="{00000000-0004-0000-0900-000001000000}"/>
    <hyperlink ref="A3" location="HL_Navigator" display="Navigator" xr:uid="{00000000-0004-0000-09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  <pageSetUpPr fitToPage="1"/>
  </sheetPr>
  <dimension ref="A1:R19"/>
  <sheetViews>
    <sheetView showGridLines="0" workbookViewId="0">
      <pane ySplit="4" topLeftCell="A5" activePane="bottomLeft" state="frozen"/>
      <selection activeCell="C5" sqref="C5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Error Checks</v>
      </c>
      <c r="I1" s="82"/>
      <c r="J1" s="82"/>
    </row>
    <row r="2" spans="1:11" ht="18" x14ac:dyDescent="0.25">
      <c r="A2" s="50" t="str">
        <f ca="1">Model_Name</f>
        <v>Chapter 6.2 - SP Interest Rates Example Model.xlsx</v>
      </c>
    </row>
    <row r="3" spans="1:11" x14ac:dyDescent="0.2">
      <c r="A3" s="82" t="s">
        <v>1</v>
      </c>
      <c r="B3" s="82"/>
      <c r="C3" s="82"/>
      <c r="D3" s="82"/>
      <c r="E3" s="82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51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105</v>
      </c>
      <c r="I12" s="77">
        <f>HL_Correct_Rate_Check</f>
        <v>0</v>
      </c>
    </row>
    <row r="13" spans="1:11" outlineLevel="1" x14ac:dyDescent="0.2">
      <c r="I13" s="62"/>
      <c r="J13" s="62"/>
    </row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5" t="str">
        <f>C8</f>
        <v>Summary of Errors</v>
      </c>
      <c r="I17" s="1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2" priority="3" operator="notEqual">
      <formula>0</formula>
    </cfRule>
  </conditionalFormatting>
  <conditionalFormatting sqref="I12">
    <cfRule type="cellIs" dxfId="1" priority="2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A00-000000000000}"/>
    <hyperlink ref="A3:E3" location="HL_Navigator" tooltip="Go to Navigator (Table of Contents)" display="Navigator" xr:uid="{00000000-0004-0000-0A00-000001000000}"/>
    <hyperlink ref="A3" location="HL_Navigator" display="Navigator" xr:uid="{00000000-0004-0000-0A00-000002000000}"/>
    <hyperlink ref="I12" location="HL_Correct_Rate_Check" display="HL_Correct_Rate_Check" xr:uid="{00000000-0004-0000-0A00-000003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18"/>
  <sheetViews>
    <sheetView showGridLines="0" zoomScaleNormal="100" workbookViewId="0">
      <pane ySplit="4" topLeftCell="A5" activePane="bottomLeft" state="frozen"/>
      <selection activeCell="C5" sqref="C5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49" t="s">
        <v>1</v>
      </c>
      <c r="F1" s="13"/>
      <c r="G1" s="13"/>
    </row>
    <row r="2" spans="1:24" ht="18" x14ac:dyDescent="0.25">
      <c r="A2" s="50" t="str">
        <f ca="1">Model_Name</f>
        <v>Chapter 6.2 - SP Interest Rates Example Model.xlsx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51">
        <v>1</v>
      </c>
      <c r="C7" s="51" t="s">
        <v>25</v>
      </c>
      <c r="D7" s="51"/>
      <c r="E7" s="51"/>
      <c r="F7" s="51"/>
      <c r="G7" s="51"/>
      <c r="H7" s="51"/>
      <c r="I7" s="51"/>
      <c r="J7" s="51"/>
      <c r="K7" s="51"/>
      <c r="L7" s="5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78" t="s">
        <v>26</v>
      </c>
    </row>
    <row r="10" spans="1:24" x14ac:dyDescent="0.2">
      <c r="F10" s="78" t="s">
        <v>27</v>
      </c>
    </row>
    <row r="11" spans="1:24" x14ac:dyDescent="0.2">
      <c r="F11" s="78" t="s">
        <v>106</v>
      </c>
    </row>
    <row r="12" spans="1:24" x14ac:dyDescent="0.2">
      <c r="F12" s="78" t="s">
        <v>107</v>
      </c>
    </row>
    <row r="13" spans="1:24" x14ac:dyDescent="0.2">
      <c r="F13" s="78" t="s">
        <v>94</v>
      </c>
    </row>
    <row r="14" spans="1:24" x14ac:dyDescent="0.2">
      <c r="F14" s="78" t="s">
        <v>95</v>
      </c>
    </row>
    <row r="15" spans="1:24" x14ac:dyDescent="0.2">
      <c r="F15" s="78" t="s">
        <v>0</v>
      </c>
    </row>
    <row r="16" spans="1:24" x14ac:dyDescent="0.2">
      <c r="F16" s="78" t="s">
        <v>85</v>
      </c>
    </row>
    <row r="17" spans="6:6" x14ac:dyDescent="0.2">
      <c r="F17" s="78" t="s">
        <v>70</v>
      </c>
    </row>
    <row r="18" spans="6:6" x14ac:dyDescent="0.2">
      <c r="F18" s="78" t="s">
        <v>66</v>
      </c>
    </row>
  </sheetData>
  <hyperlinks>
    <hyperlink ref="A3:E3" location="HL_Navigator" tooltip="Go to Navigator (Table of Contents)" display="Navigator" xr:uid="{00000000-0004-0000-0100-000000000000}"/>
    <hyperlink ref="F9" location="HL_1" display="Cover" xr:uid="{00000000-0004-0000-0100-000001000000}"/>
    <hyperlink ref="F10" location="HL_3" display="Style Guide" xr:uid="{00000000-0004-0000-0100-000002000000}"/>
    <hyperlink ref="F11" location="HL_4" display="Interest Assumptions" xr:uid="{00000000-0004-0000-0100-000003000000}"/>
    <hyperlink ref="F12" location="HL_5" display="Correct Interest Rate" xr:uid="{00000000-0004-0000-0100-000004000000}"/>
    <hyperlink ref="F13" location="HL_6" display="Compounding Monthly Rate" xr:uid="{00000000-0004-0000-0100-000005000000}"/>
    <hyperlink ref="F14" location="HL_7" display="Simple Monthly Rate" xr:uid="{00000000-0004-0000-0100-000006000000}"/>
    <hyperlink ref="F15" location="HL_8" display="Model Parameters" xr:uid="{00000000-0004-0000-0100-000007000000}"/>
    <hyperlink ref="F16" location="HL_9" display="Lookup Data" xr:uid="{00000000-0004-0000-0100-000008000000}"/>
    <hyperlink ref="F17" location="HL_10" display="Timing" xr:uid="{00000000-0004-0000-0100-000009000000}"/>
    <hyperlink ref="F18" location="HL_11" display="Error Checks" xr:uid="{00000000-0004-0000-0100-00000A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O81"/>
  <sheetViews>
    <sheetView showGridLines="0" zoomScaleNormal="100" workbookViewId="0">
      <pane ySplit="4" topLeftCell="A5" activePane="bottomLeft" state="frozen"/>
      <selection activeCell="C5" sqref="C5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0" t="str">
        <f ca="1">Model_Name</f>
        <v>Chapter 6.2 - SP Interest Rates Example Model.xlsx</v>
      </c>
    </row>
    <row r="3" spans="1:13" x14ac:dyDescent="0.2">
      <c r="A3" s="82" t="s">
        <v>1</v>
      </c>
      <c r="B3" s="82"/>
      <c r="C3" s="82"/>
      <c r="D3" s="82"/>
      <c r="E3" s="82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51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85" t="s">
        <v>29</v>
      </c>
      <c r="D8" s="85"/>
      <c r="E8" s="85"/>
      <c r="F8" s="85"/>
      <c r="G8" s="85"/>
      <c r="H8" s="14"/>
      <c r="I8" s="14" t="s">
        <v>30</v>
      </c>
      <c r="J8" s="14"/>
      <c r="K8" s="14" t="s">
        <v>31</v>
      </c>
    </row>
    <row r="9" spans="1:13" outlineLevel="1" x14ac:dyDescent="0.2">
      <c r="C9" s="84"/>
      <c r="D9" s="84"/>
      <c r="E9" s="84"/>
      <c r="F9" s="84"/>
      <c r="G9" s="84"/>
      <c r="H9" s="48"/>
      <c r="I9" s="48"/>
      <c r="J9" s="17"/>
      <c r="K9" s="20"/>
    </row>
    <row r="10" spans="1:13" ht="20.25" outlineLevel="1" x14ac:dyDescent="0.3">
      <c r="C10" s="84" t="s">
        <v>32</v>
      </c>
      <c r="D10" s="84"/>
      <c r="E10" s="84"/>
      <c r="F10" s="84"/>
      <c r="G10" s="84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84" t="s">
        <v>5</v>
      </c>
      <c r="D11" s="84"/>
      <c r="E11" s="84"/>
      <c r="F11" s="84"/>
      <c r="G11" s="84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84"/>
      <c r="D12" s="84"/>
      <c r="E12" s="84"/>
      <c r="F12" s="84"/>
      <c r="G12" s="84"/>
      <c r="H12" s="15"/>
      <c r="I12" s="15"/>
      <c r="J12" s="17"/>
      <c r="K12" s="20"/>
    </row>
    <row r="13" spans="1:13" ht="16.5" outlineLevel="1" thickBot="1" x14ac:dyDescent="0.3">
      <c r="C13" s="84" t="s">
        <v>33</v>
      </c>
      <c r="D13" s="84"/>
      <c r="E13" s="84"/>
      <c r="F13" s="84"/>
      <c r="G13" s="84"/>
      <c r="H13" s="15"/>
      <c r="I13" s="47" t="str">
        <f>C13</f>
        <v>Header 1</v>
      </c>
      <c r="J13" s="17"/>
      <c r="K13" s="18" t="s">
        <v>33</v>
      </c>
    </row>
    <row r="14" spans="1:13" ht="17.25" outlineLevel="1" thickTop="1" x14ac:dyDescent="0.25">
      <c r="C14" s="84" t="s">
        <v>34</v>
      </c>
      <c r="D14" s="84"/>
      <c r="E14" s="84"/>
      <c r="F14" s="84"/>
      <c r="G14" s="84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84" t="s">
        <v>35</v>
      </c>
      <c r="D15" s="84"/>
      <c r="E15" s="84"/>
      <c r="F15" s="84"/>
      <c r="G15" s="84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84" t="s">
        <v>36</v>
      </c>
      <c r="D16" s="84"/>
      <c r="E16" s="84"/>
      <c r="F16" s="84"/>
      <c r="G16" s="84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84"/>
      <c r="D17" s="84"/>
      <c r="E17" s="84"/>
      <c r="F17" s="84"/>
      <c r="G17" s="84"/>
      <c r="H17" s="15"/>
      <c r="I17" s="15"/>
      <c r="J17" s="17"/>
      <c r="K17" s="20"/>
    </row>
    <row r="18" spans="2:14" ht="15" outlineLevel="1" x14ac:dyDescent="0.25">
      <c r="C18" s="84" t="s">
        <v>37</v>
      </c>
      <c r="D18" s="84"/>
      <c r="E18" s="84"/>
      <c r="F18" s="84"/>
      <c r="G18" s="84"/>
      <c r="H18" s="15"/>
      <c r="I18" s="23" t="str">
        <f>C18</f>
        <v>Notes</v>
      </c>
      <c r="J18" s="17"/>
      <c r="K18" s="18" t="s">
        <v>37</v>
      </c>
    </row>
    <row r="19" spans="2:14" ht="12.75" outlineLevel="1" x14ac:dyDescent="0.2">
      <c r="C19" s="84"/>
      <c r="D19" s="84"/>
      <c r="E19" s="84"/>
      <c r="F19" s="84"/>
      <c r="G19" s="84"/>
      <c r="H19" s="15"/>
      <c r="I19" s="15"/>
      <c r="J19" s="17"/>
      <c r="K19" s="20"/>
      <c r="N19" s="23"/>
    </row>
    <row r="20" spans="2:14" ht="15" outlineLevel="1" x14ac:dyDescent="0.25">
      <c r="C20" s="84" t="s">
        <v>38</v>
      </c>
      <c r="D20" s="84"/>
      <c r="E20" s="84"/>
      <c r="F20" s="84"/>
      <c r="G20" s="84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1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86" t="s">
        <v>29</v>
      </c>
      <c r="D25" s="86"/>
      <c r="E25" s="86"/>
      <c r="F25" s="86"/>
      <c r="G25" s="86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84"/>
      <c r="D26" s="84"/>
      <c r="E26" s="84"/>
      <c r="F26" s="84"/>
      <c r="G26" s="84"/>
      <c r="H26" s="48"/>
      <c r="I26" s="48"/>
      <c r="J26" s="17"/>
      <c r="K26" s="18"/>
    </row>
    <row r="27" spans="2:14" ht="15" outlineLevel="1" x14ac:dyDescent="0.25">
      <c r="C27" s="84" t="s">
        <v>40</v>
      </c>
      <c r="D27" s="84"/>
      <c r="E27" s="84"/>
      <c r="F27" s="84"/>
      <c r="G27" s="84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84"/>
      <c r="D28" s="84"/>
      <c r="E28" s="84"/>
      <c r="F28" s="84"/>
      <c r="G28" s="84"/>
      <c r="H28" s="15"/>
      <c r="I28" s="15"/>
      <c r="J28" s="15"/>
      <c r="K28" s="26"/>
    </row>
    <row r="29" spans="2:14" ht="15" outlineLevel="1" x14ac:dyDescent="0.25">
      <c r="C29" s="84" t="s">
        <v>41</v>
      </c>
      <c r="D29" s="84"/>
      <c r="E29" s="84"/>
      <c r="F29" s="84"/>
      <c r="G29" s="84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84"/>
      <c r="D30" s="84"/>
      <c r="E30" s="84"/>
      <c r="F30" s="84"/>
      <c r="G30" s="84"/>
      <c r="H30" s="15"/>
      <c r="I30" s="15"/>
      <c r="J30" s="15"/>
      <c r="K30" s="26"/>
    </row>
    <row r="31" spans="2:14" ht="15" outlineLevel="1" x14ac:dyDescent="0.25">
      <c r="C31" s="83" t="s">
        <v>42</v>
      </c>
      <c r="D31" s="83"/>
      <c r="E31" s="83"/>
      <c r="F31" s="83"/>
      <c r="G31" s="83"/>
      <c r="I31" s="28"/>
      <c r="K31" s="26" t="str">
        <f>C31</f>
        <v>Empty</v>
      </c>
    </row>
    <row r="32" spans="2:14" ht="15" outlineLevel="1" x14ac:dyDescent="0.25">
      <c r="C32" s="83"/>
      <c r="D32" s="83"/>
      <c r="E32" s="83"/>
      <c r="F32" s="83"/>
      <c r="G32" s="83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83" t="s">
        <v>44</v>
      </c>
      <c r="D35" s="83"/>
      <c r="E35" s="83"/>
      <c r="F35" s="83"/>
      <c r="G35" s="83"/>
      <c r="I35" s="12" t="s">
        <v>44</v>
      </c>
      <c r="K35" s="26" t="str">
        <f>C35</f>
        <v>Hyperlink</v>
      </c>
    </row>
    <row r="36" spans="3:11" ht="15" outlineLevel="1" x14ac:dyDescent="0.25">
      <c r="C36" s="83"/>
      <c r="D36" s="83"/>
      <c r="E36" s="83"/>
      <c r="F36" s="83"/>
      <c r="G36" s="83"/>
      <c r="K36" s="26"/>
    </row>
    <row r="37" spans="3:11" ht="15" outlineLevel="1" x14ac:dyDescent="0.25">
      <c r="C37" s="83" t="s">
        <v>45</v>
      </c>
      <c r="D37" s="83"/>
      <c r="E37" s="83"/>
      <c r="F37" s="83"/>
      <c r="G37" s="83"/>
      <c r="I37" s="30" t="str">
        <f>'Error Checks'!E12</f>
        <v>Correct Rate Check</v>
      </c>
      <c r="K37" s="26" t="str">
        <f>C37</f>
        <v>Internal Reference</v>
      </c>
    </row>
    <row r="38" spans="3:11" ht="15" outlineLevel="1" x14ac:dyDescent="0.25">
      <c r="C38" s="83"/>
      <c r="D38" s="83"/>
      <c r="E38" s="83"/>
      <c r="F38" s="83"/>
      <c r="G38" s="83"/>
      <c r="K38" s="26"/>
    </row>
    <row r="39" spans="3:11" ht="15" outlineLevel="1" x14ac:dyDescent="0.25">
      <c r="C39" s="83" t="s">
        <v>46</v>
      </c>
      <c r="D39" s="83"/>
      <c r="E39" s="83"/>
      <c r="F39" s="83"/>
      <c r="G39" s="83"/>
      <c r="I39" s="31">
        <v>77</v>
      </c>
      <c r="K39" s="26" t="s">
        <v>47</v>
      </c>
    </row>
    <row r="40" spans="3:11" ht="15" outlineLevel="1" x14ac:dyDescent="0.25">
      <c r="C40" s="83"/>
      <c r="D40" s="83"/>
      <c r="E40" s="83"/>
      <c r="F40" s="83"/>
      <c r="G40" s="83"/>
      <c r="K40" s="26"/>
    </row>
    <row r="41" spans="3:11" ht="15" outlineLevel="1" x14ac:dyDescent="0.25">
      <c r="C41" s="83" t="s">
        <v>48</v>
      </c>
      <c r="D41" s="83"/>
      <c r="E41" s="83"/>
      <c r="F41" s="83"/>
      <c r="G41" s="83"/>
      <c r="I41" s="32">
        <f>I39</f>
        <v>77</v>
      </c>
      <c r="K41" s="26" t="str">
        <f>C41</f>
        <v>Line Total</v>
      </c>
    </row>
    <row r="42" spans="3:11" ht="15" outlineLevel="1" x14ac:dyDescent="0.25">
      <c r="C42" s="83"/>
      <c r="D42" s="83"/>
      <c r="E42" s="83"/>
      <c r="F42" s="83"/>
      <c r="G42" s="83"/>
      <c r="K42" s="26"/>
    </row>
    <row r="43" spans="3:11" ht="15" outlineLevel="1" x14ac:dyDescent="0.25">
      <c r="C43" s="83" t="s">
        <v>49</v>
      </c>
      <c r="D43" s="83"/>
      <c r="E43" s="83"/>
      <c r="F43" s="83"/>
      <c r="G43" s="83"/>
      <c r="I43" s="33">
        <v>365</v>
      </c>
      <c r="K43" s="26" t="str">
        <f>C43</f>
        <v>Parameter</v>
      </c>
    </row>
    <row r="44" spans="3:11" ht="15" outlineLevel="1" x14ac:dyDescent="0.25">
      <c r="C44" s="83"/>
      <c r="D44" s="83"/>
      <c r="E44" s="83"/>
      <c r="F44" s="83"/>
      <c r="G44" s="83"/>
      <c r="K44" s="26"/>
    </row>
    <row r="45" spans="3:11" ht="15" outlineLevel="1" x14ac:dyDescent="0.25">
      <c r="C45" s="83" t="s">
        <v>50</v>
      </c>
      <c r="D45" s="83"/>
      <c r="E45" s="83"/>
      <c r="F45" s="83"/>
      <c r="G45" s="83"/>
      <c r="I45" s="34" t="s">
        <v>51</v>
      </c>
      <c r="K45" s="26" t="str">
        <f>C45</f>
        <v>Range Name Description</v>
      </c>
    </row>
    <row r="46" spans="3:11" ht="15" outlineLevel="1" x14ac:dyDescent="0.25">
      <c r="C46" s="83"/>
      <c r="D46" s="83"/>
      <c r="E46" s="83"/>
      <c r="F46" s="83"/>
      <c r="G46" s="83"/>
      <c r="K46" s="26"/>
    </row>
    <row r="47" spans="3:11" ht="15" outlineLevel="1" x14ac:dyDescent="0.25">
      <c r="C47" s="83" t="s">
        <v>52</v>
      </c>
      <c r="D47" s="83"/>
      <c r="E47" s="83"/>
      <c r="F47" s="83"/>
      <c r="G47" s="83"/>
      <c r="I47" s="35">
        <f>ROW(C47)</f>
        <v>47</v>
      </c>
      <c r="K47" s="26" t="s">
        <v>53</v>
      </c>
    </row>
    <row r="48" spans="3:11" ht="15" outlineLevel="1" x14ac:dyDescent="0.25">
      <c r="C48" s="83"/>
      <c r="D48" s="83"/>
      <c r="E48" s="83"/>
      <c r="F48" s="83"/>
      <c r="G48" s="83"/>
      <c r="K48" s="26"/>
    </row>
    <row r="49" spans="2:13" ht="15" outlineLevel="1" x14ac:dyDescent="0.25">
      <c r="C49" s="83" t="s">
        <v>54</v>
      </c>
      <c r="D49" s="83"/>
      <c r="E49" s="83"/>
      <c r="F49" s="83"/>
      <c r="G49" s="83"/>
      <c r="I49" s="36">
        <f>I41</f>
        <v>77</v>
      </c>
      <c r="K49" s="26" t="str">
        <f>C49</f>
        <v>Row Summary</v>
      </c>
    </row>
    <row r="50" spans="2:13" ht="15" outlineLevel="1" x14ac:dyDescent="0.25">
      <c r="C50" s="83"/>
      <c r="D50" s="83"/>
      <c r="E50" s="83"/>
      <c r="F50" s="83"/>
      <c r="G50" s="83"/>
      <c r="K50" s="26"/>
    </row>
    <row r="51" spans="2:13" ht="15" outlineLevel="1" x14ac:dyDescent="0.25">
      <c r="C51" s="83" t="s">
        <v>55</v>
      </c>
      <c r="D51" s="83"/>
      <c r="E51" s="83"/>
      <c r="F51" s="83"/>
      <c r="G51" s="83"/>
      <c r="I51" s="37" t="s">
        <v>69</v>
      </c>
      <c r="K51" s="26" t="str">
        <f>C51</f>
        <v>Units</v>
      </c>
    </row>
    <row r="52" spans="2:13" ht="15" outlineLevel="1" x14ac:dyDescent="0.25">
      <c r="C52" s="83"/>
      <c r="D52" s="83"/>
      <c r="E52" s="83"/>
      <c r="F52" s="83"/>
      <c r="G52" s="83"/>
      <c r="K52" s="26"/>
    </row>
    <row r="53" spans="2:13" ht="15" outlineLevel="1" x14ac:dyDescent="0.25">
      <c r="C53" s="83" t="s">
        <v>56</v>
      </c>
      <c r="D53" s="83"/>
      <c r="E53" s="83"/>
      <c r="F53" s="83"/>
      <c r="G53" s="83"/>
      <c r="I53" s="38"/>
      <c r="K53" s="26" t="str">
        <f>C53</f>
        <v>WIP</v>
      </c>
    </row>
    <row r="54" spans="2:13" ht="15" outlineLevel="1" x14ac:dyDescent="0.25">
      <c r="C54" s="83"/>
      <c r="D54" s="83"/>
      <c r="E54" s="83"/>
      <c r="F54" s="83"/>
      <c r="G54" s="83"/>
      <c r="K54" s="26"/>
    </row>
    <row r="55" spans="2:13" outlineLevel="1" x14ac:dyDescent="0.2">
      <c r="C55" s="83"/>
      <c r="D55" s="83"/>
      <c r="E55" s="83"/>
      <c r="F55" s="83"/>
      <c r="G55" s="83"/>
    </row>
    <row r="56" spans="2:13" ht="16.5" thickBot="1" x14ac:dyDescent="0.3">
      <c r="B56" s="51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85" t="s">
        <v>29</v>
      </c>
      <c r="D58" s="85"/>
      <c r="E58" s="85"/>
      <c r="F58" s="85"/>
      <c r="G58" s="85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83" t="s">
        <v>58</v>
      </c>
      <c r="D60" s="83"/>
      <c r="E60" s="83"/>
      <c r="F60" s="83"/>
      <c r="G60" s="83"/>
      <c r="I60" s="54">
        <v>123456.789</v>
      </c>
      <c r="K60" s="26" t="str">
        <f t="shared" ref="K60:K66" si="0">C60</f>
        <v>Comma</v>
      </c>
    </row>
    <row r="61" spans="2:13" ht="15" outlineLevel="1" x14ac:dyDescent="0.25">
      <c r="C61" s="83"/>
      <c r="D61" s="83"/>
      <c r="E61" s="83"/>
      <c r="F61" s="83"/>
      <c r="G61" s="83"/>
      <c r="K61" s="26"/>
    </row>
    <row r="62" spans="2:13" ht="15" outlineLevel="1" x14ac:dyDescent="0.25">
      <c r="C62" s="83" t="s">
        <v>59</v>
      </c>
      <c r="D62" s="83"/>
      <c r="E62" s="83"/>
      <c r="F62" s="83"/>
      <c r="G62" s="83"/>
      <c r="I62" s="53">
        <v>-123456.789</v>
      </c>
      <c r="K62" s="26" t="str">
        <f t="shared" si="0"/>
        <v>Comma [0]</v>
      </c>
    </row>
    <row r="63" spans="2:13" ht="15" outlineLevel="1" x14ac:dyDescent="0.25">
      <c r="C63" s="83"/>
      <c r="D63" s="83"/>
      <c r="E63" s="83"/>
      <c r="F63" s="83"/>
      <c r="G63" s="83"/>
      <c r="K63" s="26"/>
    </row>
    <row r="64" spans="2:13" ht="15" outlineLevel="1" x14ac:dyDescent="0.25">
      <c r="C64" s="83" t="s">
        <v>60</v>
      </c>
      <c r="D64" s="83"/>
      <c r="E64" s="83"/>
      <c r="F64" s="83"/>
      <c r="G64" s="83"/>
      <c r="I64" s="55">
        <v>123456.789</v>
      </c>
      <c r="K64" s="26" t="str">
        <f t="shared" si="0"/>
        <v>Currency</v>
      </c>
    </row>
    <row r="65" spans="3:11" ht="15" outlineLevel="1" x14ac:dyDescent="0.25">
      <c r="C65" s="83"/>
      <c r="D65" s="83"/>
      <c r="E65" s="83"/>
      <c r="F65" s="83"/>
      <c r="G65" s="83"/>
      <c r="K65" s="26"/>
    </row>
    <row r="66" spans="3:11" ht="15" outlineLevel="1" x14ac:dyDescent="0.25">
      <c r="C66" s="83" t="s">
        <v>61</v>
      </c>
      <c r="D66" s="83"/>
      <c r="E66" s="83"/>
      <c r="F66" s="83"/>
      <c r="G66" s="83"/>
      <c r="I66" s="56">
        <v>123456.789</v>
      </c>
      <c r="K66" s="26" t="str">
        <f t="shared" si="0"/>
        <v>Currency [0]</v>
      </c>
    </row>
    <row r="67" spans="3:11" ht="15" outlineLevel="1" x14ac:dyDescent="0.25">
      <c r="C67" s="83"/>
      <c r="D67" s="83"/>
      <c r="E67" s="83"/>
      <c r="F67" s="83"/>
      <c r="G67" s="83"/>
      <c r="K67" s="26"/>
    </row>
    <row r="68" spans="3:11" ht="15" outlineLevel="1" x14ac:dyDescent="0.25">
      <c r="C68" s="84" t="s">
        <v>62</v>
      </c>
      <c r="D68" s="84"/>
      <c r="E68" s="84"/>
      <c r="F68" s="84"/>
      <c r="G68" s="84"/>
      <c r="H68" s="15"/>
      <c r="I68" s="57">
        <f ca="1">TODAY()</f>
        <v>43977</v>
      </c>
      <c r="J68" s="15"/>
      <c r="K68" s="26" t="str">
        <f>C68</f>
        <v>Date</v>
      </c>
    </row>
    <row r="69" spans="3:11" ht="15" outlineLevel="1" x14ac:dyDescent="0.25">
      <c r="C69" s="84"/>
      <c r="D69" s="84"/>
      <c r="E69" s="84"/>
      <c r="F69" s="84"/>
      <c r="G69" s="84"/>
      <c r="H69" s="15"/>
      <c r="I69" s="15"/>
      <c r="J69" s="15"/>
      <c r="K69" s="26"/>
    </row>
    <row r="70" spans="3:11" ht="15" outlineLevel="1" x14ac:dyDescent="0.25">
      <c r="C70" s="84" t="s">
        <v>63</v>
      </c>
      <c r="D70" s="84"/>
      <c r="E70" s="84"/>
      <c r="F70" s="84"/>
      <c r="G70" s="84"/>
      <c r="H70" s="15"/>
      <c r="I70" s="58">
        <f ca="1">TODAY()</f>
        <v>43977</v>
      </c>
      <c r="J70" s="15"/>
      <c r="K70" s="26" t="str">
        <f>C70</f>
        <v>Date Heading</v>
      </c>
    </row>
    <row r="71" spans="3:11" ht="15" outlineLevel="1" x14ac:dyDescent="0.25">
      <c r="C71" s="83"/>
      <c r="D71" s="83"/>
      <c r="E71" s="83"/>
      <c r="F71" s="83"/>
      <c r="G71" s="83"/>
      <c r="K71" s="26"/>
    </row>
    <row r="72" spans="3:11" ht="15" outlineLevel="1" x14ac:dyDescent="0.25">
      <c r="C72" s="83" t="s">
        <v>64</v>
      </c>
      <c r="D72" s="83"/>
      <c r="E72" s="83"/>
      <c r="F72" s="83"/>
      <c r="G72" s="83"/>
      <c r="I72" s="40">
        <v>-123456.789</v>
      </c>
      <c r="K72" s="26" t="str">
        <f>C72</f>
        <v>Numbers 0</v>
      </c>
    </row>
    <row r="73" spans="3:11" ht="15" outlineLevel="1" x14ac:dyDescent="0.25">
      <c r="C73" s="83"/>
      <c r="D73" s="83"/>
      <c r="E73" s="83"/>
      <c r="F73" s="83"/>
      <c r="G73" s="83"/>
      <c r="K73" s="26"/>
    </row>
    <row r="74" spans="3:11" ht="15" outlineLevel="1" x14ac:dyDescent="0.25">
      <c r="C74" s="83" t="s">
        <v>65</v>
      </c>
      <c r="D74" s="83"/>
      <c r="E74" s="83"/>
      <c r="F74" s="83"/>
      <c r="G74" s="83"/>
      <c r="I74" s="41">
        <v>0.5</v>
      </c>
      <c r="K74" s="26" t="str">
        <f>C74</f>
        <v>Percent</v>
      </c>
    </row>
    <row r="75" spans="3:11" outlineLevel="1" x14ac:dyDescent="0.2">
      <c r="C75" s="83"/>
      <c r="D75" s="83"/>
      <c r="E75" s="83"/>
      <c r="F75" s="83"/>
      <c r="G75" s="83"/>
    </row>
    <row r="76" spans="3:11" outlineLevel="1" x14ac:dyDescent="0.2">
      <c r="C76" s="83"/>
      <c r="D76" s="83"/>
      <c r="E76" s="83"/>
      <c r="F76" s="83"/>
      <c r="G76" s="83"/>
    </row>
    <row r="77" spans="3:11" x14ac:dyDescent="0.2">
      <c r="C77" s="83"/>
      <c r="D77" s="83"/>
      <c r="E77" s="83"/>
      <c r="F77" s="83"/>
      <c r="G77" s="83"/>
    </row>
    <row r="78" spans="3:11" x14ac:dyDescent="0.2">
      <c r="C78" s="83"/>
      <c r="D78" s="83"/>
      <c r="E78" s="83"/>
      <c r="F78" s="83"/>
      <c r="G78" s="83"/>
    </row>
    <row r="79" spans="3:11" x14ac:dyDescent="0.2">
      <c r="C79" s="83"/>
      <c r="D79" s="83"/>
      <c r="E79" s="83"/>
      <c r="F79" s="83"/>
      <c r="G79" s="83"/>
    </row>
    <row r="80" spans="3:11" x14ac:dyDescent="0.2">
      <c r="C80" s="83"/>
      <c r="D80" s="83"/>
      <c r="E80" s="83"/>
      <c r="F80" s="83"/>
      <c r="G80" s="83"/>
    </row>
    <row r="81" spans="3:7" x14ac:dyDescent="0.2">
      <c r="C81" s="83"/>
      <c r="D81" s="83"/>
      <c r="E81" s="83"/>
      <c r="F81" s="83"/>
      <c r="G81" s="83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U25"/>
  <sheetViews>
    <sheetView showGridLines="0" workbookViewId="0">
      <pane ySplit="4" topLeftCell="A5" activePane="bottomLeft" state="frozen"/>
      <selection activeCell="C5" sqref="C5"/>
      <selection pane="bottomLeft" activeCell="A5" sqref="A5"/>
    </sheetView>
  </sheetViews>
  <sheetFormatPr defaultRowHeight="12" x14ac:dyDescent="0.2"/>
  <cols>
    <col min="1" max="5" width="3.7109375" customWidth="1"/>
    <col min="6" max="6" width="23.140625" bestFit="1" customWidth="1"/>
    <col min="8" max="8" width="2.7109375" customWidth="1"/>
    <col min="9" max="9" width="11.140625" customWidth="1"/>
    <col min="10" max="10" width="2.7109375" customWidth="1"/>
  </cols>
  <sheetData>
    <row r="1" spans="1:2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Interest Assumptions</v>
      </c>
      <c r="B1" s="62"/>
      <c r="C1" s="62"/>
      <c r="D1" s="62"/>
      <c r="E1" s="62"/>
      <c r="F1" s="62"/>
      <c r="G1" s="62"/>
      <c r="H1" s="62"/>
      <c r="I1" s="62"/>
      <c r="J1" s="82"/>
      <c r="K1" s="82"/>
      <c r="L1" s="62"/>
      <c r="M1" s="62"/>
    </row>
    <row r="2" spans="1:21" ht="18" x14ac:dyDescent="0.25">
      <c r="A2" s="50" t="str">
        <f ca="1">Model_Name</f>
        <v>Chapter 6.2 - SP Interest Rates Example Model.xlsx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21" x14ac:dyDescent="0.2">
      <c r="A3" s="82" t="s">
        <v>1</v>
      </c>
      <c r="B3" s="82"/>
      <c r="C3" s="82"/>
      <c r="D3" s="82"/>
      <c r="E3" s="82"/>
      <c r="F3" s="62"/>
      <c r="G3" s="62"/>
      <c r="H3" s="62"/>
      <c r="I3" s="62"/>
      <c r="J3" s="62"/>
      <c r="K3" s="62"/>
      <c r="L3" s="62"/>
      <c r="M3" s="62"/>
    </row>
    <row r="4" spans="1:21" ht="14.25" x14ac:dyDescent="0.2">
      <c r="A4" s="62"/>
      <c r="B4" s="62"/>
      <c r="C4" s="62"/>
      <c r="D4" s="62"/>
      <c r="E4" s="62" t="s">
        <v>2</v>
      </c>
      <c r="F4" s="62"/>
      <c r="G4" s="62"/>
      <c r="H4" s="62"/>
      <c r="I4" s="1">
        <f>Overall_Error_Check</f>
        <v>0</v>
      </c>
      <c r="J4" s="62"/>
      <c r="K4" s="62"/>
      <c r="L4" s="62"/>
      <c r="M4" s="62"/>
    </row>
    <row r="5" spans="1:2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21" ht="16.5" thickBot="1" x14ac:dyDescent="0.3">
      <c r="A6" s="62"/>
      <c r="B6" s="51">
        <f>MAX($B$5:$B5)+1</f>
        <v>1</v>
      </c>
      <c r="C6" s="3" t="str">
        <f ca="1">A1</f>
        <v>Interest Assumptions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2.75" thickTop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21" ht="16.5" x14ac:dyDescent="0.25">
      <c r="A8" s="62"/>
      <c r="B8" s="62"/>
      <c r="C8" s="4" t="s">
        <v>4</v>
      </c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1:21" x14ac:dyDescent="0.2">
      <c r="F10" t="s">
        <v>84</v>
      </c>
      <c r="G10" s="64" t="s">
        <v>87</v>
      </c>
      <c r="I10" s="66">
        <v>3</v>
      </c>
    </row>
    <row r="12" spans="1:21" x14ac:dyDescent="0.2">
      <c r="F12" t="s">
        <v>88</v>
      </c>
      <c r="G12" s="64" t="s">
        <v>89</v>
      </c>
      <c r="I12" s="67">
        <v>0.12</v>
      </c>
    </row>
    <row r="14" spans="1:21" ht="12.75" x14ac:dyDescent="0.2">
      <c r="F14" t="s">
        <v>90</v>
      </c>
      <c r="G14" s="64" t="s">
        <v>91</v>
      </c>
      <c r="I14" s="70">
        <f>(1+(Effective_Annual_Interest_Rate*Payment_Frequency/Months_in_Year))^(1/Payment_Frequency)-1</f>
        <v>9.9016340499609168E-3</v>
      </c>
      <c r="K14" s="68" t="str">
        <f ca="1">_xlfn.FORMULATEXT(I14)</f>
        <v>=(1+(Effective_Annual_Interest_Rate*Payment_Frequency/Months_in_Year))^(1/Payment_Frequency)-1</v>
      </c>
    </row>
    <row r="17" spans="3:9" ht="16.5" x14ac:dyDescent="0.25">
      <c r="C17" s="4" t="s">
        <v>82</v>
      </c>
    </row>
    <row r="19" spans="3:9" ht="15" x14ac:dyDescent="0.25">
      <c r="D19" s="5" t="s">
        <v>92</v>
      </c>
    </row>
    <row r="21" spans="3:9" x14ac:dyDescent="0.2">
      <c r="F21" t="s">
        <v>93</v>
      </c>
      <c r="G21" s="64" t="s">
        <v>91</v>
      </c>
      <c r="I21" s="72">
        <f>Correct_Monthly_Interest_Rate</f>
        <v>9.9016340499609168E-3</v>
      </c>
    </row>
    <row r="23" spans="3:9" x14ac:dyDescent="0.2">
      <c r="F23" t="s">
        <v>94</v>
      </c>
      <c r="G23" s="64" t="s">
        <v>91</v>
      </c>
      <c r="H23" s="62"/>
      <c r="I23" s="71">
        <f>(1+Effective_Annual_Interest_Rate)^(1/Months_in_Year)-1</f>
        <v>9.4887929345830457E-3</v>
      </c>
    </row>
    <row r="24" spans="3:9" x14ac:dyDescent="0.2">
      <c r="H24" s="62"/>
    </row>
    <row r="25" spans="3:9" x14ac:dyDescent="0.2">
      <c r="F25" t="s">
        <v>95</v>
      </c>
      <c r="G25" s="64" t="s">
        <v>91</v>
      </c>
      <c r="H25" s="62"/>
      <c r="I25" s="71">
        <f>Effective_Annual_Interest_Rate/Months_in_Year</f>
        <v>0.01</v>
      </c>
    </row>
  </sheetData>
  <mergeCells count="2">
    <mergeCell ref="J1:K1"/>
    <mergeCell ref="A3:E3"/>
  </mergeCells>
  <conditionalFormatting sqref="I4">
    <cfRule type="cellIs" dxfId="14" priority="3" operator="notEqual">
      <formula>0</formula>
    </cfRule>
  </conditionalFormatting>
  <conditionalFormatting sqref="I23">
    <cfRule type="expression" dxfId="13" priority="2">
      <formula>$I$23=$I$21</formula>
    </cfRule>
  </conditionalFormatting>
  <conditionalFormatting sqref="I25">
    <cfRule type="expression" dxfId="12" priority="1">
      <formula>$I$21=$I$25</formula>
    </cfRule>
  </conditionalFormatting>
  <dataValidations count="1">
    <dataValidation type="list" allowBlank="1" showInputMessage="1" showErrorMessage="1" sqref="I10" xr:uid="{00000000-0002-0000-0300-000000000000}">
      <formula1>LU_Payment_Frequency</formula1>
    </dataValidation>
  </dataValidations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V27"/>
  <sheetViews>
    <sheetView showGridLines="0" workbookViewId="0">
      <pane ySplit="4" topLeftCell="A5" activePane="bottomLeft" state="frozen"/>
      <selection activeCell="C5" sqref="C5"/>
      <selection pane="bottomLeft" activeCell="A5" sqref="A5"/>
    </sheetView>
  </sheetViews>
  <sheetFormatPr defaultRowHeight="12" x14ac:dyDescent="0.2"/>
  <cols>
    <col min="1" max="5" width="3.7109375" style="62" customWidth="1"/>
    <col min="6" max="6" width="16.28515625" style="62" customWidth="1"/>
    <col min="7" max="7" width="9.140625" style="62"/>
    <col min="8" max="8" width="2.7109375" style="62" customWidth="1"/>
    <col min="9" max="16384" width="9.140625" style="62"/>
  </cols>
  <sheetData>
    <row r="1" spans="1:22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Simple Monthly Rate</v>
      </c>
      <c r="J1" s="82"/>
      <c r="K1" s="82"/>
    </row>
    <row r="2" spans="1:22" ht="18" x14ac:dyDescent="0.25">
      <c r="A2" s="50" t="str">
        <f ca="1">Model_Name</f>
        <v>Chapter 6.2 - SP Interest Rates Example Model.xlsx</v>
      </c>
    </row>
    <row r="3" spans="1:22" x14ac:dyDescent="0.2">
      <c r="A3" s="82" t="s">
        <v>1</v>
      </c>
      <c r="B3" s="82"/>
      <c r="C3" s="82"/>
      <c r="D3" s="82"/>
      <c r="E3" s="82"/>
    </row>
    <row r="4" spans="1:22" ht="14.25" x14ac:dyDescent="0.2">
      <c r="E4" s="62" t="s">
        <v>2</v>
      </c>
      <c r="I4" s="1">
        <f>Overall_Error_Check</f>
        <v>0</v>
      </c>
    </row>
    <row r="6" spans="1:22" ht="16.5" thickBot="1" x14ac:dyDescent="0.3">
      <c r="B6" s="51">
        <f>MAX($B$5:$B5)+1</f>
        <v>1</v>
      </c>
      <c r="C6" s="3" t="str">
        <f ca="1">A1</f>
        <v>Simple Monthly Rate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75" thickTop="1" x14ac:dyDescent="0.2"/>
    <row r="8" spans="1:22" ht="16.5" x14ac:dyDescent="0.25">
      <c r="C8" s="4" t="s">
        <v>96</v>
      </c>
    </row>
    <row r="10" spans="1:22" x14ac:dyDescent="0.2">
      <c r="D10" s="62" t="str">
        <f>'Interest Assumptions'!F12</f>
        <v>Effective Interest Rate</v>
      </c>
      <c r="G10" s="64" t="s">
        <v>89</v>
      </c>
      <c r="I10" s="73">
        <f>Effective_Annual_Interest_Rate</f>
        <v>0.12</v>
      </c>
    </row>
    <row r="12" spans="1:22" x14ac:dyDescent="0.2">
      <c r="D12" s="62" t="s">
        <v>97</v>
      </c>
      <c r="G12" s="64" t="s">
        <v>91</v>
      </c>
      <c r="I12" s="69">
        <f>Simple_Monthly_Rate</f>
        <v>0.01</v>
      </c>
    </row>
    <row r="14" spans="1:22" x14ac:dyDescent="0.2">
      <c r="D14" s="62" t="s">
        <v>98</v>
      </c>
      <c r="G14" s="37" t="s">
        <v>99</v>
      </c>
      <c r="I14" s="65">
        <v>100</v>
      </c>
    </row>
    <row r="17" spans="4:21" x14ac:dyDescent="0.2">
      <c r="J17" s="74">
        <f>N(I17)+1</f>
        <v>1</v>
      </c>
      <c r="K17" s="74">
        <f t="shared" ref="K17:U17" si="0">N(J17)+1</f>
        <v>2</v>
      </c>
      <c r="L17" s="74">
        <f t="shared" si="0"/>
        <v>3</v>
      </c>
      <c r="M17" s="74">
        <f t="shared" si="0"/>
        <v>4</v>
      </c>
      <c r="N17" s="74">
        <f t="shared" si="0"/>
        <v>5</v>
      </c>
      <c r="O17" s="74">
        <f t="shared" si="0"/>
        <v>6</v>
      </c>
      <c r="P17" s="74">
        <f t="shared" si="0"/>
        <v>7</v>
      </c>
      <c r="Q17" s="74">
        <f t="shared" si="0"/>
        <v>8</v>
      </c>
      <c r="R17" s="74">
        <f t="shared" si="0"/>
        <v>9</v>
      </c>
      <c r="S17" s="74">
        <f t="shared" si="0"/>
        <v>10</v>
      </c>
      <c r="T17" s="74">
        <f t="shared" si="0"/>
        <v>11</v>
      </c>
      <c r="U17" s="74">
        <f t="shared" si="0"/>
        <v>12</v>
      </c>
    </row>
    <row r="18" spans="4:21" x14ac:dyDescent="0.2">
      <c r="D18" s="62" t="s">
        <v>100</v>
      </c>
      <c r="G18" s="37" t="s">
        <v>99</v>
      </c>
      <c r="J18" s="40">
        <f>IF(J$17=1,$I$14,I21)</f>
        <v>100</v>
      </c>
      <c r="K18" s="40">
        <f t="shared" ref="K18:U18" si="1">IF(K$17=1,$I$14,J21)</f>
        <v>101</v>
      </c>
      <c r="L18" s="40">
        <f t="shared" si="1"/>
        <v>102.01</v>
      </c>
      <c r="M18" s="40">
        <f t="shared" si="1"/>
        <v>100</v>
      </c>
      <c r="N18" s="40">
        <f t="shared" si="1"/>
        <v>101</v>
      </c>
      <c r="O18" s="40">
        <f t="shared" si="1"/>
        <v>102.01</v>
      </c>
      <c r="P18" s="40">
        <f t="shared" si="1"/>
        <v>100</v>
      </c>
      <c r="Q18" s="40">
        <f t="shared" si="1"/>
        <v>101</v>
      </c>
      <c r="R18" s="40">
        <f t="shared" si="1"/>
        <v>102.01</v>
      </c>
      <c r="S18" s="40">
        <f t="shared" si="1"/>
        <v>100</v>
      </c>
      <c r="T18" s="40">
        <f t="shared" si="1"/>
        <v>101</v>
      </c>
      <c r="U18" s="40">
        <f t="shared" si="1"/>
        <v>102.01</v>
      </c>
    </row>
    <row r="19" spans="4:21" x14ac:dyDescent="0.2">
      <c r="D19" s="62" t="s">
        <v>101</v>
      </c>
      <c r="G19" s="37" t="s">
        <v>99</v>
      </c>
      <c r="J19" s="40">
        <f>J18*$I$12</f>
        <v>1</v>
      </c>
      <c r="K19" s="40">
        <f t="shared" ref="K19:U19" si="2">K18*$I$12</f>
        <v>1.01</v>
      </c>
      <c r="L19" s="40">
        <f t="shared" si="2"/>
        <v>1.0201</v>
      </c>
      <c r="M19" s="40">
        <f t="shared" si="2"/>
        <v>1</v>
      </c>
      <c r="N19" s="40">
        <f t="shared" si="2"/>
        <v>1.01</v>
      </c>
      <c r="O19" s="40">
        <f t="shared" si="2"/>
        <v>1.0201</v>
      </c>
      <c r="P19" s="40">
        <f t="shared" si="2"/>
        <v>1</v>
      </c>
      <c r="Q19" s="40">
        <f t="shared" si="2"/>
        <v>1.01</v>
      </c>
      <c r="R19" s="40">
        <f t="shared" si="2"/>
        <v>1.0201</v>
      </c>
      <c r="S19" s="40">
        <f t="shared" si="2"/>
        <v>1</v>
      </c>
      <c r="T19" s="40">
        <f t="shared" si="2"/>
        <v>1.01</v>
      </c>
      <c r="U19" s="40">
        <f t="shared" si="2"/>
        <v>1.0201</v>
      </c>
    </row>
    <row r="20" spans="4:21" x14ac:dyDescent="0.2">
      <c r="D20" s="62" t="s">
        <v>102</v>
      </c>
      <c r="G20" s="37" t="s">
        <v>99</v>
      </c>
      <c r="J20" s="40">
        <f>-IF(MOD(J$17,Payment_Frequency),,SUM($I20:I20)+SUM($I19:J19))</f>
        <v>0</v>
      </c>
      <c r="K20" s="40">
        <f>-IF(MOD(K$17,Payment_Frequency),,SUM($I20:J20)+SUM($I19:K19))</f>
        <v>0</v>
      </c>
      <c r="L20" s="40">
        <f>-IF(MOD(L$17,Payment_Frequency),,SUM($I20:K20)+SUM($I19:L19))</f>
        <v>-3.0301</v>
      </c>
      <c r="M20" s="40">
        <f>-IF(MOD(M$17,Payment_Frequency),,SUM($I20:L20)+SUM($I19:M19))</f>
        <v>0</v>
      </c>
      <c r="N20" s="40">
        <f>-IF(MOD(N$17,Payment_Frequency),,SUM($I20:M20)+SUM($I19:N19))</f>
        <v>0</v>
      </c>
      <c r="O20" s="40">
        <f>-IF(MOD(O$17,Payment_Frequency),,SUM($I20:N20)+SUM($I19:O19))</f>
        <v>-3.0301</v>
      </c>
      <c r="P20" s="40">
        <f>-IF(MOD(P$17,Payment_Frequency),,SUM($I20:O20)+SUM($I19:P19))</f>
        <v>0</v>
      </c>
      <c r="Q20" s="40">
        <f>-IF(MOD(Q$17,Payment_Frequency),,SUM($I20:P20)+SUM($I19:Q19))</f>
        <v>0</v>
      </c>
      <c r="R20" s="40">
        <f>-IF(MOD(R$17,Payment_Frequency),,SUM($I20:Q20)+SUM($I19:R19))</f>
        <v>-3.0300999999999991</v>
      </c>
      <c r="S20" s="40">
        <f>-IF(MOD(S$17,Payment_Frequency),,SUM($I20:R20)+SUM($I19:S19))</f>
        <v>0</v>
      </c>
      <c r="T20" s="40">
        <f>-IF(MOD(T$17,Payment_Frequency),,SUM($I20:S20)+SUM($I19:T19))</f>
        <v>0</v>
      </c>
      <c r="U20" s="40">
        <f>-IF(MOD(U$17,Payment_Frequency),,SUM($I20:T20)+SUM($I19:U19))</f>
        <v>-3.0300999999999991</v>
      </c>
    </row>
    <row r="21" spans="4:21" x14ac:dyDescent="0.2">
      <c r="D21" s="76" t="s">
        <v>103</v>
      </c>
      <c r="G21" s="37" t="s">
        <v>99</v>
      </c>
      <c r="J21" s="75">
        <f>SUM(J18:J20)</f>
        <v>101</v>
      </c>
      <c r="K21" s="75">
        <f t="shared" ref="K21:U21" si="3">SUM(K18:K20)</f>
        <v>102.01</v>
      </c>
      <c r="L21" s="75">
        <f t="shared" si="3"/>
        <v>100</v>
      </c>
      <c r="M21" s="75">
        <f t="shared" si="3"/>
        <v>101</v>
      </c>
      <c r="N21" s="75">
        <f t="shared" si="3"/>
        <v>102.01</v>
      </c>
      <c r="O21" s="75">
        <f t="shared" si="3"/>
        <v>100</v>
      </c>
      <c r="P21" s="75">
        <f t="shared" si="3"/>
        <v>101</v>
      </c>
      <c r="Q21" s="75">
        <f t="shared" si="3"/>
        <v>102.01</v>
      </c>
      <c r="R21" s="75">
        <f t="shared" si="3"/>
        <v>100</v>
      </c>
      <c r="S21" s="75">
        <f t="shared" si="3"/>
        <v>101</v>
      </c>
      <c r="T21" s="75">
        <f t="shared" si="3"/>
        <v>102.01</v>
      </c>
      <c r="U21" s="75">
        <f t="shared" si="3"/>
        <v>100</v>
      </c>
    </row>
    <row r="24" spans="4:21" x14ac:dyDescent="0.2">
      <c r="D24" s="62" t="s">
        <v>104</v>
      </c>
      <c r="G24" s="37" t="s">
        <v>99</v>
      </c>
      <c r="I24" s="40">
        <f>SUM(J19:U19)</f>
        <v>12.120399999999998</v>
      </c>
    </row>
    <row r="25" spans="4:21" x14ac:dyDescent="0.2">
      <c r="D25" s="62" t="str">
        <f>D14</f>
        <v>Opening Balance Assumed</v>
      </c>
      <c r="G25" s="37" t="s">
        <v>99</v>
      </c>
      <c r="I25" s="40">
        <f>I14</f>
        <v>100</v>
      </c>
    </row>
    <row r="27" spans="4:21" ht="14.25" x14ac:dyDescent="0.2">
      <c r="D27" s="62" t="str">
        <f>D10</f>
        <v>Effective Interest Rate</v>
      </c>
      <c r="G27" s="64" t="s">
        <v>89</v>
      </c>
      <c r="I27" s="73">
        <f>IF(I25,I24/I25,)</f>
        <v>0.12120399999999998</v>
      </c>
      <c r="J27" s="77">
        <f>(ROUND(I27-I10,Rounding_Accuracy))*1</f>
        <v>1.1999999999999999E-3</v>
      </c>
    </row>
  </sheetData>
  <mergeCells count="2">
    <mergeCell ref="J1:K1"/>
    <mergeCell ref="A3:E3"/>
  </mergeCells>
  <conditionalFormatting sqref="I4">
    <cfRule type="cellIs" dxfId="11" priority="3" operator="notEqual">
      <formula>0</formula>
    </cfRule>
  </conditionalFormatting>
  <conditionalFormatting sqref="J27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600-000000000000}"/>
    <hyperlink ref="A3" location="HL_Navigator" display="Navigator" xr:uid="{00000000-0004-0000-0600-000001000000}"/>
    <hyperlink ref="I4" location="Overall_Error_Check" tooltip="Go to Overall Error Check" display="Overall_Error_Check" xr:uid="{00000000-0004-0000-0600-000002000000}"/>
    <hyperlink ref="J27" location="Overall_Error_Check" tooltip="Go to Overall Error Check" display="Overall_Error_Check" xr:uid="{00000000-0004-0000-0600-000003000000}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V27"/>
  <sheetViews>
    <sheetView showGridLines="0" workbookViewId="0">
      <pane ySplit="4" topLeftCell="A5" activePane="bottomLeft" state="frozen"/>
      <selection activeCell="C5" sqref="C5"/>
      <selection pane="bottomLeft" activeCell="A5" sqref="A5"/>
    </sheetView>
  </sheetViews>
  <sheetFormatPr defaultRowHeight="12" x14ac:dyDescent="0.2"/>
  <cols>
    <col min="1" max="5" width="3.7109375" style="62" customWidth="1"/>
    <col min="6" max="6" width="16.28515625" style="62" customWidth="1"/>
    <col min="7" max="7" width="9.140625" style="62"/>
    <col min="8" max="8" width="2.7109375" style="62" customWidth="1"/>
    <col min="9" max="16384" width="9.140625" style="62"/>
  </cols>
  <sheetData>
    <row r="1" spans="1:22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Compounding Monthly Rate</v>
      </c>
      <c r="J1" s="82"/>
      <c r="K1" s="82"/>
    </row>
    <row r="2" spans="1:22" ht="18" x14ac:dyDescent="0.25">
      <c r="A2" s="50" t="str">
        <f ca="1">Model_Name</f>
        <v>Chapter 6.2 - SP Interest Rates Example Model.xlsx</v>
      </c>
    </row>
    <row r="3" spans="1:22" x14ac:dyDescent="0.2">
      <c r="A3" s="82" t="s">
        <v>1</v>
      </c>
      <c r="B3" s="82"/>
      <c r="C3" s="82"/>
      <c r="D3" s="82"/>
      <c r="E3" s="82"/>
    </row>
    <row r="4" spans="1:22" ht="14.25" x14ac:dyDescent="0.2">
      <c r="E4" s="62" t="s">
        <v>2</v>
      </c>
      <c r="I4" s="1">
        <f>Overall_Error_Check</f>
        <v>0</v>
      </c>
    </row>
    <row r="6" spans="1:22" ht="16.5" thickBot="1" x14ac:dyDescent="0.3">
      <c r="B6" s="51">
        <f>MAX($B$5:$B5)+1</f>
        <v>1</v>
      </c>
      <c r="C6" s="3" t="str">
        <f ca="1">A1</f>
        <v>Compounding Monthly Rate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75" thickTop="1" x14ac:dyDescent="0.2"/>
    <row r="8" spans="1:22" ht="16.5" x14ac:dyDescent="0.25">
      <c r="C8" s="4" t="s">
        <v>96</v>
      </c>
    </row>
    <row r="10" spans="1:22" x14ac:dyDescent="0.2">
      <c r="D10" s="62" t="str">
        <f>'Interest Assumptions'!F12</f>
        <v>Effective Interest Rate</v>
      </c>
      <c r="G10" s="64" t="s">
        <v>89</v>
      </c>
      <c r="I10" s="73">
        <f>Effective_Annual_Interest_Rate</f>
        <v>0.12</v>
      </c>
    </row>
    <row r="12" spans="1:22" x14ac:dyDescent="0.2">
      <c r="D12" s="62" t="s">
        <v>97</v>
      </c>
      <c r="G12" s="64" t="s">
        <v>91</v>
      </c>
      <c r="I12" s="69">
        <f>Compounding_Monthly_Rate</f>
        <v>9.4887929345830457E-3</v>
      </c>
    </row>
    <row r="14" spans="1:22" x14ac:dyDescent="0.2">
      <c r="D14" s="62" t="s">
        <v>98</v>
      </c>
      <c r="G14" s="37" t="s">
        <v>99</v>
      </c>
      <c r="I14" s="65">
        <v>100</v>
      </c>
    </row>
    <row r="17" spans="4:21" x14ac:dyDescent="0.2">
      <c r="J17" s="74">
        <f>N(I17)+1</f>
        <v>1</v>
      </c>
      <c r="K17" s="74">
        <f t="shared" ref="K17:U17" si="0">N(J17)+1</f>
        <v>2</v>
      </c>
      <c r="L17" s="74">
        <f t="shared" si="0"/>
        <v>3</v>
      </c>
      <c r="M17" s="74">
        <f t="shared" si="0"/>
        <v>4</v>
      </c>
      <c r="N17" s="74">
        <f t="shared" si="0"/>
        <v>5</v>
      </c>
      <c r="O17" s="74">
        <f t="shared" si="0"/>
        <v>6</v>
      </c>
      <c r="P17" s="74">
        <f t="shared" si="0"/>
        <v>7</v>
      </c>
      <c r="Q17" s="74">
        <f t="shared" si="0"/>
        <v>8</v>
      </c>
      <c r="R17" s="74">
        <f t="shared" si="0"/>
        <v>9</v>
      </c>
      <c r="S17" s="74">
        <f t="shared" si="0"/>
        <v>10</v>
      </c>
      <c r="T17" s="74">
        <f t="shared" si="0"/>
        <v>11</v>
      </c>
      <c r="U17" s="74">
        <f t="shared" si="0"/>
        <v>12</v>
      </c>
    </row>
    <row r="18" spans="4:21" x14ac:dyDescent="0.2">
      <c r="D18" s="62" t="s">
        <v>100</v>
      </c>
      <c r="G18" s="37" t="s">
        <v>99</v>
      </c>
      <c r="J18" s="40">
        <f>IF(J$17=1,$I$14,I21)</f>
        <v>100</v>
      </c>
      <c r="K18" s="40">
        <f t="shared" ref="K18:U18" si="1">IF(K$17=1,$I$14,J21)</f>
        <v>100.9488792934583</v>
      </c>
      <c r="L18" s="40">
        <f t="shared" si="1"/>
        <v>101.90676230605214</v>
      </c>
      <c r="M18" s="40">
        <f t="shared" si="1"/>
        <v>99.999999999999986</v>
      </c>
      <c r="N18" s="40">
        <f t="shared" si="1"/>
        <v>100.94887929345829</v>
      </c>
      <c r="O18" s="40">
        <f t="shared" si="1"/>
        <v>101.90676230605213</v>
      </c>
      <c r="P18" s="40">
        <f t="shared" si="1"/>
        <v>99.999999999999972</v>
      </c>
      <c r="Q18" s="40">
        <f t="shared" si="1"/>
        <v>100.94887929345828</v>
      </c>
      <c r="R18" s="40">
        <f t="shared" si="1"/>
        <v>101.90676230605212</v>
      </c>
      <c r="S18" s="40">
        <f t="shared" si="1"/>
        <v>99.999999999999972</v>
      </c>
      <c r="T18" s="40">
        <f t="shared" si="1"/>
        <v>100.94887929345828</v>
      </c>
      <c r="U18" s="40">
        <f t="shared" si="1"/>
        <v>101.90676230605212</v>
      </c>
    </row>
    <row r="19" spans="4:21" x14ac:dyDescent="0.2">
      <c r="D19" s="62" t="s">
        <v>101</v>
      </c>
      <c r="G19" s="37" t="s">
        <v>99</v>
      </c>
      <c r="J19" s="40">
        <f>J18*$I$12</f>
        <v>0.94887929345830457</v>
      </c>
      <c r="K19" s="40">
        <f t="shared" ref="K19:U19" si="2">K18*$I$12</f>
        <v>0.9578830125938439</v>
      </c>
      <c r="L19" s="40">
        <f t="shared" si="2"/>
        <v>0.96697216615590142</v>
      </c>
      <c r="M19" s="40">
        <f t="shared" si="2"/>
        <v>0.94887929345830446</v>
      </c>
      <c r="N19" s="40">
        <f t="shared" si="2"/>
        <v>0.95788301259384379</v>
      </c>
      <c r="O19" s="40">
        <f t="shared" si="2"/>
        <v>0.96697216615590131</v>
      </c>
      <c r="P19" s="40">
        <f t="shared" si="2"/>
        <v>0.94887929345830435</v>
      </c>
      <c r="Q19" s="40">
        <f t="shared" si="2"/>
        <v>0.95788301259384356</v>
      </c>
      <c r="R19" s="40">
        <f t="shared" si="2"/>
        <v>0.9669721661559012</v>
      </c>
      <c r="S19" s="40">
        <f t="shared" si="2"/>
        <v>0.94887929345830435</v>
      </c>
      <c r="T19" s="40">
        <f t="shared" si="2"/>
        <v>0.95788301259384356</v>
      </c>
      <c r="U19" s="40">
        <f t="shared" si="2"/>
        <v>0.9669721661559012</v>
      </c>
    </row>
    <row r="20" spans="4:21" x14ac:dyDescent="0.2">
      <c r="D20" s="62" t="s">
        <v>102</v>
      </c>
      <c r="G20" s="37" t="s">
        <v>99</v>
      </c>
      <c r="J20" s="40">
        <f>-IF(MOD(J$17,Payment_Frequency),,SUM($I20:I20)+SUM($I19:J19))</f>
        <v>0</v>
      </c>
      <c r="K20" s="40">
        <f>-IF(MOD(K$17,Payment_Frequency),,SUM($I20:J20)+SUM($I19:K19))</f>
        <v>0</v>
      </c>
      <c r="L20" s="40">
        <f>-IF(MOD(L$17,Payment_Frequency),,SUM($I20:K20)+SUM($I19:L19))</f>
        <v>-2.8737344722080502</v>
      </c>
      <c r="M20" s="40">
        <f>-IF(MOD(M$17,Payment_Frequency),,SUM($I20:L20)+SUM($I19:M19))</f>
        <v>0</v>
      </c>
      <c r="N20" s="40">
        <f>-IF(MOD(N$17,Payment_Frequency),,SUM($I20:M20)+SUM($I19:N19))</f>
        <v>0</v>
      </c>
      <c r="O20" s="40">
        <f>-IF(MOD(O$17,Payment_Frequency),,SUM($I20:N20)+SUM($I19:O19))</f>
        <v>-2.8737344722080502</v>
      </c>
      <c r="P20" s="40">
        <f>-IF(MOD(P$17,Payment_Frequency),,SUM($I20:O20)+SUM($I19:P19))</f>
        <v>0</v>
      </c>
      <c r="Q20" s="40">
        <f>-IF(MOD(Q$17,Payment_Frequency),,SUM($I20:P20)+SUM($I19:Q19))</f>
        <v>0</v>
      </c>
      <c r="R20" s="40">
        <f>-IF(MOD(R$17,Payment_Frequency),,SUM($I20:Q20)+SUM($I19:R19))</f>
        <v>-2.8737344722080493</v>
      </c>
      <c r="S20" s="40">
        <f>-IF(MOD(S$17,Payment_Frequency),,SUM($I20:R20)+SUM($I19:S19))</f>
        <v>0</v>
      </c>
      <c r="T20" s="40">
        <f>-IF(MOD(T$17,Payment_Frequency),,SUM($I20:S20)+SUM($I19:T19))</f>
        <v>0</v>
      </c>
      <c r="U20" s="40">
        <f>-IF(MOD(U$17,Payment_Frequency),,SUM($I20:T20)+SUM($I19:U19))</f>
        <v>-2.8737344722080493</v>
      </c>
    </row>
    <row r="21" spans="4:21" x14ac:dyDescent="0.2">
      <c r="D21" s="76" t="s">
        <v>103</v>
      </c>
      <c r="G21" s="37" t="s">
        <v>99</v>
      </c>
      <c r="J21" s="75">
        <f>SUM(J18:J20)</f>
        <v>100.9488792934583</v>
      </c>
      <c r="K21" s="75">
        <f t="shared" ref="K21:U21" si="3">SUM(K18:K20)</f>
        <v>101.90676230605214</v>
      </c>
      <c r="L21" s="75">
        <f t="shared" si="3"/>
        <v>99.999999999999986</v>
      </c>
      <c r="M21" s="75">
        <f t="shared" si="3"/>
        <v>100.94887929345829</v>
      </c>
      <c r="N21" s="75">
        <f t="shared" si="3"/>
        <v>101.90676230605213</v>
      </c>
      <c r="O21" s="75">
        <f t="shared" si="3"/>
        <v>99.999999999999972</v>
      </c>
      <c r="P21" s="75">
        <f t="shared" si="3"/>
        <v>100.94887929345828</v>
      </c>
      <c r="Q21" s="75">
        <f t="shared" si="3"/>
        <v>101.90676230605212</v>
      </c>
      <c r="R21" s="75">
        <f t="shared" si="3"/>
        <v>99.999999999999972</v>
      </c>
      <c r="S21" s="75">
        <f t="shared" si="3"/>
        <v>100.94887929345828</v>
      </c>
      <c r="T21" s="75">
        <f t="shared" si="3"/>
        <v>101.90676230605212</v>
      </c>
      <c r="U21" s="75">
        <f t="shared" si="3"/>
        <v>99.999999999999972</v>
      </c>
    </row>
    <row r="24" spans="4:21" x14ac:dyDescent="0.2">
      <c r="D24" s="62" t="s">
        <v>104</v>
      </c>
      <c r="G24" s="37" t="s">
        <v>99</v>
      </c>
      <c r="I24" s="40">
        <f>SUM(J19:U19)</f>
        <v>11.494937888832199</v>
      </c>
    </row>
    <row r="25" spans="4:21" x14ac:dyDescent="0.2">
      <c r="D25" s="62" t="str">
        <f>D14</f>
        <v>Opening Balance Assumed</v>
      </c>
      <c r="G25" s="37" t="s">
        <v>99</v>
      </c>
      <c r="I25" s="40">
        <f>I14</f>
        <v>100</v>
      </c>
    </row>
    <row r="27" spans="4:21" ht="14.25" x14ac:dyDescent="0.2">
      <c r="D27" s="62" t="str">
        <f>D10</f>
        <v>Effective Interest Rate</v>
      </c>
      <c r="G27" s="64" t="s">
        <v>89</v>
      </c>
      <c r="I27" s="73">
        <f>IF(I25,I24/I25,)</f>
        <v>0.11494937888832199</v>
      </c>
      <c r="J27" s="77">
        <f>(ROUND(I27-I10,Rounding_Accuracy))*1</f>
        <v>-5.0499999999999998E-3</v>
      </c>
    </row>
  </sheetData>
  <mergeCells count="2">
    <mergeCell ref="J1:K1"/>
    <mergeCell ref="A3:E3"/>
  </mergeCells>
  <conditionalFormatting sqref="I4">
    <cfRule type="cellIs" dxfId="9" priority="4" operator="notEqual">
      <formula>0</formula>
    </cfRule>
  </conditionalFormatting>
  <conditionalFormatting sqref="J27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500-000000000000}"/>
    <hyperlink ref="A3" location="HL_Navigator" display="Navigator" xr:uid="{00000000-0004-0000-0500-000001000000}"/>
    <hyperlink ref="I4" location="Overall_Error_Check" tooltip="Go to Overall Error Check" display="Overall_Error_Check" xr:uid="{00000000-0004-0000-0500-000002000000}"/>
    <hyperlink ref="J27" location="Overall_Error_Check" tooltip="Go to Overall Error Check" display="Overall_Error_Check" xr:uid="{00000000-0004-0000-0500-000003000000}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V27"/>
  <sheetViews>
    <sheetView showGridLines="0" workbookViewId="0">
      <pane ySplit="4" topLeftCell="A5" activePane="bottomLeft" state="frozen"/>
      <selection activeCell="C5" sqref="C5"/>
      <selection pane="bottomLeft" activeCell="A5" sqref="A5"/>
    </sheetView>
  </sheetViews>
  <sheetFormatPr defaultRowHeight="12" x14ac:dyDescent="0.2"/>
  <cols>
    <col min="1" max="5" width="3.7109375" customWidth="1"/>
    <col min="6" max="6" width="16.28515625" customWidth="1"/>
    <col min="8" max="8" width="2.7109375" customWidth="1"/>
  </cols>
  <sheetData>
    <row r="1" spans="1:22" s="62" customFormat="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Correct Interest Rate</v>
      </c>
      <c r="J1" s="82"/>
      <c r="K1" s="82"/>
    </row>
    <row r="2" spans="1:22" s="62" customFormat="1" ht="18" x14ac:dyDescent="0.25">
      <c r="A2" s="50" t="str">
        <f ca="1">Model_Name</f>
        <v>Chapter 6.2 - SP Interest Rates Example Model.xlsx</v>
      </c>
    </row>
    <row r="3" spans="1:22" s="62" customFormat="1" x14ac:dyDescent="0.2">
      <c r="A3" s="82" t="s">
        <v>1</v>
      </c>
      <c r="B3" s="82"/>
      <c r="C3" s="82"/>
      <c r="D3" s="82"/>
      <c r="E3" s="82"/>
    </row>
    <row r="4" spans="1:22" s="62" customFormat="1" ht="14.25" x14ac:dyDescent="0.2">
      <c r="E4" s="62" t="s">
        <v>2</v>
      </c>
      <c r="I4" s="1">
        <f>Overall_Error_Check</f>
        <v>0</v>
      </c>
    </row>
    <row r="5" spans="1:22" s="62" customFormat="1" x14ac:dyDescent="0.2"/>
    <row r="6" spans="1:22" s="62" customFormat="1" ht="16.5" thickBot="1" x14ac:dyDescent="0.3">
      <c r="B6" s="51">
        <f>MAX($B$5:$B5)+1</f>
        <v>1</v>
      </c>
      <c r="C6" s="3" t="str">
        <f ca="1">A1</f>
        <v>Correct Interest Rate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62" customFormat="1" ht="12.75" thickTop="1" x14ac:dyDescent="0.2"/>
    <row r="8" spans="1:22" s="62" customFormat="1" ht="16.5" x14ac:dyDescent="0.25">
      <c r="C8" s="4" t="s">
        <v>96</v>
      </c>
    </row>
    <row r="10" spans="1:22" s="62" customFormat="1" x14ac:dyDescent="0.2">
      <c r="D10" s="62" t="str">
        <f>'Interest Assumptions'!F12</f>
        <v>Effective Interest Rate</v>
      </c>
      <c r="G10" s="64" t="s">
        <v>89</v>
      </c>
      <c r="I10" s="73">
        <f>Effective_Annual_Interest_Rate</f>
        <v>0.12</v>
      </c>
    </row>
    <row r="11" spans="1:22" s="62" customFormat="1" x14ac:dyDescent="0.2"/>
    <row r="12" spans="1:22" s="62" customFormat="1" x14ac:dyDescent="0.2">
      <c r="D12" s="62" t="s">
        <v>97</v>
      </c>
      <c r="G12" s="64" t="s">
        <v>91</v>
      </c>
      <c r="I12" s="69">
        <f>Correct_Monthly_Interest_Rate</f>
        <v>9.9016340499609168E-3</v>
      </c>
    </row>
    <row r="13" spans="1:22" s="62" customFormat="1" x14ac:dyDescent="0.2"/>
    <row r="14" spans="1:22" s="62" customFormat="1" x14ac:dyDescent="0.2">
      <c r="D14" s="62" t="s">
        <v>98</v>
      </c>
      <c r="G14" s="37" t="s">
        <v>99</v>
      </c>
      <c r="I14" s="65">
        <v>100</v>
      </c>
    </row>
    <row r="15" spans="1:22" s="62" customFormat="1" x14ac:dyDescent="0.2"/>
    <row r="17" spans="4:21" x14ac:dyDescent="0.2">
      <c r="J17" s="74">
        <f>N(I17)+1</f>
        <v>1</v>
      </c>
      <c r="K17" s="74">
        <f t="shared" ref="K17:U17" si="0">N(J17)+1</f>
        <v>2</v>
      </c>
      <c r="L17" s="74">
        <f t="shared" si="0"/>
        <v>3</v>
      </c>
      <c r="M17" s="74">
        <f t="shared" si="0"/>
        <v>4</v>
      </c>
      <c r="N17" s="74">
        <f t="shared" si="0"/>
        <v>5</v>
      </c>
      <c r="O17" s="74">
        <f t="shared" si="0"/>
        <v>6</v>
      </c>
      <c r="P17" s="74">
        <f t="shared" si="0"/>
        <v>7</v>
      </c>
      <c r="Q17" s="74">
        <f t="shared" si="0"/>
        <v>8</v>
      </c>
      <c r="R17" s="74">
        <f t="shared" si="0"/>
        <v>9</v>
      </c>
      <c r="S17" s="74">
        <f t="shared" si="0"/>
        <v>10</v>
      </c>
      <c r="T17" s="74">
        <f t="shared" si="0"/>
        <v>11</v>
      </c>
      <c r="U17" s="74">
        <f t="shared" si="0"/>
        <v>12</v>
      </c>
    </row>
    <row r="18" spans="4:21" x14ac:dyDescent="0.2">
      <c r="D18" t="s">
        <v>100</v>
      </c>
      <c r="G18" s="37" t="s">
        <v>99</v>
      </c>
      <c r="J18" s="40">
        <f>IF(J$17=1,$I$14,I21)</f>
        <v>100</v>
      </c>
      <c r="K18" s="40">
        <f t="shared" ref="K18:U18" si="1">IF(K$17=1,$I$14,J21)</f>
        <v>100.9901634049961</v>
      </c>
      <c r="L18" s="40">
        <f t="shared" si="1"/>
        <v>101.99013104567813</v>
      </c>
      <c r="M18" s="40">
        <f t="shared" si="1"/>
        <v>100</v>
      </c>
      <c r="N18" s="40">
        <f t="shared" si="1"/>
        <v>100.9901634049961</v>
      </c>
      <c r="O18" s="40">
        <f t="shared" si="1"/>
        <v>101.99013104567813</v>
      </c>
      <c r="P18" s="40">
        <f t="shared" si="1"/>
        <v>100</v>
      </c>
      <c r="Q18" s="40">
        <f t="shared" si="1"/>
        <v>100.9901634049961</v>
      </c>
      <c r="R18" s="40">
        <f t="shared" si="1"/>
        <v>101.99013104567813</v>
      </c>
      <c r="S18" s="40">
        <f t="shared" si="1"/>
        <v>100</v>
      </c>
      <c r="T18" s="40">
        <f t="shared" si="1"/>
        <v>100.9901634049961</v>
      </c>
      <c r="U18" s="40">
        <f t="shared" si="1"/>
        <v>101.99013104567813</v>
      </c>
    </row>
    <row r="19" spans="4:21" x14ac:dyDescent="0.2">
      <c r="D19" t="s">
        <v>101</v>
      </c>
      <c r="G19" s="37" t="s">
        <v>99</v>
      </c>
      <c r="J19" s="40">
        <f>J18*$I$12</f>
        <v>0.99016340499609168</v>
      </c>
      <c r="K19" s="40">
        <f t="shared" ref="K19:U19" si="2">K18*$I$12</f>
        <v>0.99996764068202626</v>
      </c>
      <c r="L19" s="40">
        <f t="shared" si="2"/>
        <v>1.0098689543218626</v>
      </c>
      <c r="M19" s="40">
        <f t="shared" si="2"/>
        <v>0.99016340499609168</v>
      </c>
      <c r="N19" s="40">
        <f t="shared" si="2"/>
        <v>0.99996764068202626</v>
      </c>
      <c r="O19" s="40">
        <f t="shared" si="2"/>
        <v>1.0098689543218626</v>
      </c>
      <c r="P19" s="40">
        <f t="shared" si="2"/>
        <v>0.99016340499609168</v>
      </c>
      <c r="Q19" s="40">
        <f t="shared" si="2"/>
        <v>0.99996764068202626</v>
      </c>
      <c r="R19" s="40">
        <f t="shared" si="2"/>
        <v>1.0098689543218626</v>
      </c>
      <c r="S19" s="40">
        <f t="shared" si="2"/>
        <v>0.99016340499609168</v>
      </c>
      <c r="T19" s="40">
        <f t="shared" si="2"/>
        <v>0.99996764068202626</v>
      </c>
      <c r="U19" s="40">
        <f t="shared" si="2"/>
        <v>1.0098689543218626</v>
      </c>
    </row>
    <row r="20" spans="4:21" x14ac:dyDescent="0.2">
      <c r="D20" t="s">
        <v>102</v>
      </c>
      <c r="G20" s="37" t="s">
        <v>99</v>
      </c>
      <c r="J20" s="40">
        <f>-IF(MOD(J$17,Payment_Frequency),,SUM($I20:I20)+SUM($I19:J19))</f>
        <v>0</v>
      </c>
      <c r="K20" s="40">
        <f>-IF(MOD(K$17,Payment_Frequency),,SUM($I20:J20)+SUM($I19:K19))</f>
        <v>0</v>
      </c>
      <c r="L20" s="40">
        <f>-IF(MOD(L$17,Payment_Frequency),,SUM($I20:K20)+SUM($I19:L19))</f>
        <v>-2.9999999999999805</v>
      </c>
      <c r="M20" s="40">
        <f>-IF(MOD(M$17,Payment_Frequency),,SUM($I20:L20)+SUM($I19:M19))</f>
        <v>0</v>
      </c>
      <c r="N20" s="40">
        <f>-IF(MOD(N$17,Payment_Frequency),,SUM($I20:M20)+SUM($I19:N19))</f>
        <v>0</v>
      </c>
      <c r="O20" s="40">
        <f>-IF(MOD(O$17,Payment_Frequency),,SUM($I20:N20)+SUM($I19:O19))</f>
        <v>-2.9999999999999805</v>
      </c>
      <c r="P20" s="40">
        <f>-IF(MOD(P$17,Payment_Frequency),,SUM($I20:O20)+SUM($I19:P19))</f>
        <v>0</v>
      </c>
      <c r="Q20" s="40">
        <f>-IF(MOD(Q$17,Payment_Frequency),,SUM($I20:P20)+SUM($I19:Q19))</f>
        <v>0</v>
      </c>
      <c r="R20" s="40">
        <f>-IF(MOD(R$17,Payment_Frequency),,SUM($I20:Q20)+SUM($I19:R19))</f>
        <v>-2.9999999999999805</v>
      </c>
      <c r="S20" s="40">
        <f>-IF(MOD(S$17,Payment_Frequency),,SUM($I20:R20)+SUM($I19:S19))</f>
        <v>0</v>
      </c>
      <c r="T20" s="40">
        <f>-IF(MOD(T$17,Payment_Frequency),,SUM($I20:S20)+SUM($I19:T19))</f>
        <v>0</v>
      </c>
      <c r="U20" s="40">
        <f>-IF(MOD(U$17,Payment_Frequency),,SUM($I20:T20)+SUM($I19:U19))</f>
        <v>-2.9999999999999805</v>
      </c>
    </row>
    <row r="21" spans="4:21" x14ac:dyDescent="0.2">
      <c r="D21" s="76" t="s">
        <v>103</v>
      </c>
      <c r="G21" s="37" t="s">
        <v>99</v>
      </c>
      <c r="J21" s="75">
        <f>SUM(J18:J20)</f>
        <v>100.9901634049961</v>
      </c>
      <c r="K21" s="75">
        <f t="shared" ref="K21:U21" si="3">SUM(K18:K20)</f>
        <v>101.99013104567813</v>
      </c>
      <c r="L21" s="75">
        <f t="shared" si="3"/>
        <v>100</v>
      </c>
      <c r="M21" s="75">
        <f t="shared" si="3"/>
        <v>100.9901634049961</v>
      </c>
      <c r="N21" s="75">
        <f t="shared" si="3"/>
        <v>101.99013104567813</v>
      </c>
      <c r="O21" s="75">
        <f t="shared" si="3"/>
        <v>100</v>
      </c>
      <c r="P21" s="75">
        <f t="shared" si="3"/>
        <v>100.9901634049961</v>
      </c>
      <c r="Q21" s="75">
        <f t="shared" si="3"/>
        <v>101.99013104567813</v>
      </c>
      <c r="R21" s="75">
        <f t="shared" si="3"/>
        <v>100</v>
      </c>
      <c r="S21" s="75">
        <f t="shared" si="3"/>
        <v>100.9901634049961</v>
      </c>
      <c r="T21" s="75">
        <f t="shared" si="3"/>
        <v>101.99013104567813</v>
      </c>
      <c r="U21" s="75">
        <f t="shared" si="3"/>
        <v>100</v>
      </c>
    </row>
    <row r="24" spans="4:21" x14ac:dyDescent="0.2">
      <c r="D24" t="s">
        <v>104</v>
      </c>
      <c r="G24" s="37" t="s">
        <v>99</v>
      </c>
      <c r="I24" s="40">
        <f>SUM(J19:U19)</f>
        <v>11.999999999999922</v>
      </c>
    </row>
    <row r="25" spans="4:21" x14ac:dyDescent="0.2">
      <c r="D25" t="str">
        <f>D14</f>
        <v>Opening Balance Assumed</v>
      </c>
      <c r="G25" s="37" t="s">
        <v>99</v>
      </c>
      <c r="I25" s="40">
        <f>I14</f>
        <v>100</v>
      </c>
    </row>
    <row r="27" spans="4:21" ht="14.25" x14ac:dyDescent="0.2">
      <c r="D27" t="str">
        <f>D10</f>
        <v>Effective Interest Rate</v>
      </c>
      <c r="G27" s="64" t="s">
        <v>89</v>
      </c>
      <c r="I27" s="73">
        <f>IF(I25,I24/I25,)</f>
        <v>0.11999999999999922</v>
      </c>
      <c r="J27" s="77">
        <f>(ROUND(I27-I10,Rounding_Accuracy))*1</f>
        <v>0</v>
      </c>
    </row>
  </sheetData>
  <mergeCells count="2">
    <mergeCell ref="J1:K1"/>
    <mergeCell ref="A3:E3"/>
  </mergeCells>
  <conditionalFormatting sqref="I4">
    <cfRule type="cellIs" dxfId="7" priority="2" operator="notEqual">
      <formula>0</formula>
    </cfRule>
  </conditionalFormatting>
  <conditionalFormatting sqref="J27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400-000000000000}"/>
    <hyperlink ref="A3" location="HL_Navigator" display="Navigator" xr:uid="{00000000-0004-0000-0400-000001000000}"/>
    <hyperlink ref="I4" location="Overall_Error_Check" tooltip="Go to Overall Error Check" display="Overall_Error_Check" xr:uid="{00000000-0004-0000-0400-000002000000}"/>
    <hyperlink ref="J27" location="Overall_Error_Check" tooltip="Go to Overall Error Check" display="Overall_Error_Check" xr:uid="{00000000-0004-0000-0400-000003000000}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2">
    <outlinePr summaryBelow="0"/>
    <pageSetUpPr fitToPage="1"/>
  </sheetPr>
  <dimension ref="A1:S33"/>
  <sheetViews>
    <sheetView showGridLines="0" zoomScaleNormal="100" workbookViewId="0">
      <pane ySplit="4" topLeftCell="A5" activePane="bottomLeft" state="frozen"/>
      <selection activeCell="C5" sqref="C5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Model Parameters</v>
      </c>
      <c r="J1" s="82"/>
      <c r="K1" s="82"/>
    </row>
    <row r="2" spans="1:18" ht="18" x14ac:dyDescent="0.25">
      <c r="A2" s="50" t="str">
        <f ca="1">Model_Name</f>
        <v>Chapter 6.2 - SP Interest Rates Example Model.xlsx</v>
      </c>
    </row>
    <row r="3" spans="1:18" x14ac:dyDescent="0.2">
      <c r="A3" s="82" t="s">
        <v>1</v>
      </c>
      <c r="B3" s="82"/>
      <c r="C3" s="82"/>
      <c r="D3" s="82"/>
      <c r="E3" s="82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51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87" t="str">
        <f ca="1">IF(ISERROR(OR(FIND("[",CELL("filename",A1)),FIND("]",CELL("filename",A1)))),"",MID(CELL("filename",A1),FIND("[",CELL("filename",A1))+1,FIND("]",CELL("filename",A1))-FIND("[",CELL("filename",A1))-1))</f>
        <v>Chapter 6.2 - SP Interest Rates Example Model.xlsx</v>
      </c>
      <c r="H11" s="88"/>
      <c r="I11" s="88"/>
      <c r="J11" s="88"/>
      <c r="K11" s="88"/>
      <c r="L11" s="88"/>
      <c r="M11" s="88"/>
      <c r="N11" s="89"/>
    </row>
    <row r="12" spans="1:18" outlineLevel="1" x14ac:dyDescent="0.2">
      <c r="E12" t="s">
        <v>6</v>
      </c>
      <c r="G12" s="90" t="s">
        <v>83</v>
      </c>
      <c r="H12" s="90"/>
      <c r="I12" s="90"/>
      <c r="J12" s="90"/>
      <c r="K12" s="90"/>
      <c r="L12" s="90"/>
      <c r="M12" s="90"/>
      <c r="N12" s="90"/>
    </row>
    <row r="13" spans="1:18" outlineLevel="1" x14ac:dyDescent="0.2"/>
    <row r="14" spans="1:18" outlineLevel="1" x14ac:dyDescent="0.2"/>
    <row r="15" spans="1:18" ht="16.5" thickBot="1" x14ac:dyDescent="0.3">
      <c r="B15" s="51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700-000000000000}"/>
    <hyperlink ref="A3" location="HL_Navigator" display="Navigator" xr:uid="{00000000-0004-0000-0700-000001000000}"/>
    <hyperlink ref="I4" location="Overall_Error_Check" tooltip="Go to Overall Error Check" display="Overall_Error_Check" xr:uid="{00000000-0004-0000-07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M16"/>
  <sheetViews>
    <sheetView showGridLines="0" workbookViewId="0">
      <pane ySplit="4" topLeftCell="A5" activePane="bottomLeft" state="frozen"/>
      <selection activeCell="C5" sqref="C5"/>
      <selection pane="bottomLeft" activeCell="A5" sqref="A5"/>
    </sheetView>
  </sheetViews>
  <sheetFormatPr defaultRowHeight="12" x14ac:dyDescent="0.2"/>
  <cols>
    <col min="1" max="5" width="3.7109375" style="62" customWidth="1"/>
    <col min="6" max="6" width="17.28515625" style="62" bestFit="1" customWidth="1"/>
    <col min="7" max="16384" width="9.140625" style="62"/>
  </cols>
  <sheetData>
    <row r="1" spans="1:13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Lookup Data</v>
      </c>
      <c r="J1" s="82"/>
      <c r="K1" s="82"/>
    </row>
    <row r="2" spans="1:13" ht="18" x14ac:dyDescent="0.25">
      <c r="A2" s="50" t="str">
        <f ca="1">Model_Name</f>
        <v>Chapter 6.2 - SP Interest Rates Example Model.xlsx</v>
      </c>
    </row>
    <row r="3" spans="1:13" x14ac:dyDescent="0.2">
      <c r="A3" s="82" t="s">
        <v>1</v>
      </c>
      <c r="B3" s="82"/>
      <c r="C3" s="82"/>
      <c r="D3" s="82"/>
      <c r="E3" s="82"/>
    </row>
    <row r="4" spans="1:13" ht="14.25" x14ac:dyDescent="0.2">
      <c r="E4" s="62" t="s">
        <v>2</v>
      </c>
      <c r="I4" s="1">
        <f>Overall_Error_Check</f>
        <v>0</v>
      </c>
    </row>
    <row r="6" spans="1:13" ht="16.5" thickBot="1" x14ac:dyDescent="0.3">
      <c r="B6" s="51">
        <f>MAX($B$5:$B5)+1</f>
        <v>1</v>
      </c>
      <c r="C6" s="3" t="s">
        <v>84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thickTop="1" x14ac:dyDescent="0.2"/>
    <row r="8" spans="1:13" ht="16.5" x14ac:dyDescent="0.25">
      <c r="C8" s="4" t="s">
        <v>85</v>
      </c>
    </row>
    <row r="10" spans="1:13" x14ac:dyDescent="0.2">
      <c r="F10" s="61" t="str">
        <f>C6</f>
        <v>Payment Frequency</v>
      </c>
    </row>
    <row r="11" spans="1:13" ht="12.75" x14ac:dyDescent="0.2">
      <c r="F11" s="63">
        <v>1</v>
      </c>
      <c r="H11" s="34" t="s">
        <v>86</v>
      </c>
    </row>
    <row r="12" spans="1:13" x14ac:dyDescent="0.2">
      <c r="F12" s="63">
        <v>2</v>
      </c>
    </row>
    <row r="13" spans="1:13" x14ac:dyDescent="0.2">
      <c r="F13" s="63">
        <v>3</v>
      </c>
    </row>
    <row r="14" spans="1:13" x14ac:dyDescent="0.2">
      <c r="F14" s="63">
        <v>4</v>
      </c>
    </row>
    <row r="15" spans="1:13" x14ac:dyDescent="0.2">
      <c r="F15" s="63">
        <v>6</v>
      </c>
    </row>
    <row r="16" spans="1:13" x14ac:dyDescent="0.2">
      <c r="F16" s="63">
        <v>12</v>
      </c>
    </row>
  </sheetData>
  <mergeCells count="2">
    <mergeCell ref="J1:K1"/>
    <mergeCell ref="A3:E3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800-000000000000}"/>
    <hyperlink ref="A3" location="HL_Navigator" display="Navigator" xr:uid="{00000000-0004-0000-0800-000001000000}"/>
    <hyperlink ref="I4" location="Overall_Error_Check" tooltip="Go to Overall Error Check" display="Overall_Error_Check" xr:uid="{00000000-0004-0000-08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36</vt:i4>
      </vt:variant>
    </vt:vector>
  </HeadingPairs>
  <TitlesOfParts>
    <vt:vector size="47" baseType="lpstr">
      <vt:lpstr>Cover</vt:lpstr>
      <vt:lpstr>Navigator</vt:lpstr>
      <vt:lpstr>Style Guide</vt:lpstr>
      <vt:lpstr>Interest Assumptions</vt:lpstr>
      <vt:lpstr>Simple Monthly Rate</vt:lpstr>
      <vt:lpstr>Compounding Monthly Rate</vt:lpstr>
      <vt:lpstr>Correct Interest Rate</vt:lpstr>
      <vt:lpstr>Model Parameters</vt:lpstr>
      <vt:lpstr>Lookup Data</vt:lpstr>
      <vt:lpstr>Timing</vt:lpstr>
      <vt:lpstr>Error Checks</vt:lpstr>
      <vt:lpstr>Client_Name</vt:lpstr>
      <vt:lpstr>Compounding_Monthly_Rate</vt:lpstr>
      <vt:lpstr>Correct_Monthly_Interest_Rate</vt:lpstr>
      <vt:lpstr>Days_in_Year</vt:lpstr>
      <vt:lpstr>Effective_Annual_Interest_Rate</vt:lpstr>
      <vt:lpstr>Example_Reporting_Month</vt:lpstr>
      <vt:lpstr>HL_1</vt:lpstr>
      <vt:lpstr>HL_10</vt:lpstr>
      <vt:lpstr>HL_11</vt:lpstr>
      <vt:lpstr>HL_3</vt:lpstr>
      <vt:lpstr>HL_4</vt:lpstr>
      <vt:lpstr>HL_5</vt:lpstr>
      <vt:lpstr>HL_6</vt:lpstr>
      <vt:lpstr>HL_7</vt:lpstr>
      <vt:lpstr>HL_8</vt:lpstr>
      <vt:lpstr>HL_9</vt:lpstr>
      <vt:lpstr>HL_Correct_Rate_Check</vt:lpstr>
      <vt:lpstr>HL_Model_Parameters</vt:lpstr>
      <vt:lpstr>HL_Navigator</vt:lpstr>
      <vt:lpstr>LU_Payment_Frequency</vt:lpstr>
      <vt:lpstr>Model_Name</vt:lpstr>
      <vt:lpstr>Model_Start_Date</vt:lpstr>
      <vt:lpstr>Months_in_Half_Yr</vt:lpstr>
      <vt:lpstr>Months_in_Month</vt:lpstr>
      <vt:lpstr>Months_in_Quarter</vt:lpstr>
      <vt:lpstr>Months_in_Year</vt:lpstr>
      <vt:lpstr>Overall_Error_Check</vt:lpstr>
      <vt:lpstr>Payment_Frequency</vt:lpstr>
      <vt:lpstr>Periodicity</vt:lpstr>
      <vt:lpstr>Quarters_in_Year</vt:lpstr>
      <vt:lpstr>Reporting_Month_Factor</vt:lpstr>
      <vt:lpstr>Rounding_Accuracy</vt:lpstr>
      <vt:lpstr>Simple_Monthly_Rate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cp:lastPrinted>2016-12-02T17:59:04Z</cp:lastPrinted>
  <dcterms:created xsi:type="dcterms:W3CDTF">2012-10-20T20:39:47Z</dcterms:created>
  <dcterms:modified xsi:type="dcterms:W3CDTF">2020-05-26T13:23:47Z</dcterms:modified>
</cp:coreProperties>
</file>