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m Heng\Dropbox\SumProduct\Training\Financial Modelling Book 2\Final screenshots and files\Chapter 06 - Debt\"/>
    </mc:Choice>
  </mc:AlternateContent>
  <xr:revisionPtr revIDLastSave="0" documentId="13_ncr:1_{B7550C9D-BE11-4B92-AE3F-8588351466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Debt Sculpting Example" sheetId="10" r:id="rId5"/>
    <sheet name="Lookup Data" sheetId="11" r:id="rId6"/>
    <sheet name="Timing" sheetId="6" r:id="rId7"/>
    <sheet name="Error Checks" sheetId="5" r:id="rId8"/>
    <sheet name="Change Log" sheetId="9" r:id="rId9"/>
  </sheets>
  <definedNames>
    <definedName name="Client_Name">'Model Parameters'!$G$12</definedName>
    <definedName name="Currency">'Model Parameters'!$G$33</definedName>
    <definedName name="Days_in_Year">'Model Parameters'!$G$19</definedName>
    <definedName name="Example_Reporting_Month">Timing!$H$19</definedName>
    <definedName name="Exclude">'Lookup Data'!$F$12</definedName>
    <definedName name="HL_1">Cover!$A$3</definedName>
    <definedName name="HL_3">'Style Guide'!$A$3</definedName>
    <definedName name="HL_4">'Model Parameters'!$A$3</definedName>
    <definedName name="HL_5">'Debt Sculpting Example'!$A$3</definedName>
    <definedName name="HL_6">'Lookup Data'!$A$3</definedName>
    <definedName name="HL_7">Timing!$A$3</definedName>
    <definedName name="HL_8">'Error Checks'!$A$3</definedName>
    <definedName name="HL_9">'Change Log'!$A$3</definedName>
    <definedName name="HL_LLCR_Loan_Repaid_in_Time">'Debt Sculpting Example'!$I$458</definedName>
    <definedName name="HL_Model_Parameters">'Model Parameters'!$A$5</definedName>
    <definedName name="HL_Navigator">Navigator!$A$1</definedName>
    <definedName name="HL_PLCR_Loan_Repaid_in_Time">'Debt Sculpting Example'!$I$372</definedName>
    <definedName name="Include">'Lookup Data'!$F$11</definedName>
    <definedName name="LU_Include_or_Exclude">'Lookup Data'!$F$11:$F$12</definedName>
    <definedName name="Model_Name">'Model Parameters'!$G$11</definedName>
    <definedName name="Model_Start_Date">Timing!$H$15</definedName>
    <definedName name="Months_in_Half_Yr">'Model Parameters'!$G$22</definedName>
    <definedName name="Months_in_Month">'Model Parameters'!$G$20</definedName>
    <definedName name="Months_in_Quarter">'Model Parameters'!$G$21</definedName>
    <definedName name="Months_in_Year">'Model Parameters'!$G$23</definedName>
    <definedName name="Overall_Error_Check">'Error Checks'!$I$17</definedName>
    <definedName name="Periodicity">Timing!$H$17</definedName>
    <definedName name="Quarters_in_Year">'Model Parameters'!$G$24</definedName>
    <definedName name="Reporting_Month_Factor">Timing!$H$21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8" i="10" l="1"/>
  <c r="E186" i="10"/>
  <c r="N442" i="10" l="1"/>
  <c r="E413" i="10"/>
  <c r="I411" i="10"/>
  <c r="I409" i="10"/>
  <c r="H411" i="10"/>
  <c r="H409" i="10"/>
  <c r="E411" i="10"/>
  <c r="I413" i="10" l="1"/>
  <c r="I328" i="10"/>
  <c r="H328" i="10"/>
  <c r="E328" i="10"/>
  <c r="I326" i="10"/>
  <c r="H326" i="10"/>
  <c r="I330" i="10" l="1"/>
  <c r="N356" i="10" s="1"/>
  <c r="H174" i="10"/>
  <c r="K358" i="10" l="1"/>
  <c r="L358" i="10"/>
  <c r="M358" i="10"/>
  <c r="N358" i="10"/>
  <c r="H352" i="10" l="1"/>
  <c r="G352" i="10"/>
  <c r="H438" i="10"/>
  <c r="G438" i="10"/>
  <c r="E404" i="10" l="1"/>
  <c r="H188" i="10" l="1"/>
  <c r="I186" i="10"/>
  <c r="H186" i="10"/>
  <c r="H205" i="10"/>
  <c r="G205" i="10"/>
  <c r="E205" i="10"/>
  <c r="G203" i="10"/>
  <c r="G202" i="10"/>
  <c r="G201" i="10"/>
  <c r="G200" i="10"/>
  <c r="H199" i="10"/>
  <c r="G199" i="10"/>
  <c r="J198" i="10"/>
  <c r="G198" i="10"/>
  <c r="G193" i="10"/>
  <c r="G191" i="10"/>
  <c r="G189" i="10"/>
  <c r="G188" i="10"/>
  <c r="C182" i="10"/>
  <c r="K258" i="10" l="1"/>
  <c r="K342" i="10" s="1"/>
  <c r="L258" i="10"/>
  <c r="L342" i="10" s="1"/>
  <c r="M258" i="10"/>
  <c r="M342" i="10" s="1"/>
  <c r="N258" i="10"/>
  <c r="N342" i="10" s="1"/>
  <c r="J258" i="10"/>
  <c r="J342" i="10" s="1"/>
  <c r="H342" i="10"/>
  <c r="E471" i="10"/>
  <c r="E446" i="10"/>
  <c r="H369" i="10"/>
  <c r="G386" i="10"/>
  <c r="H386" i="10"/>
  <c r="H21" i="10" l="1"/>
  <c r="H38" i="10"/>
  <c r="C484" i="10"/>
  <c r="H508" i="10"/>
  <c r="H507" i="10"/>
  <c r="H506" i="10"/>
  <c r="G510" i="10"/>
  <c r="E510" i="10"/>
  <c r="G508" i="10"/>
  <c r="G507" i="10"/>
  <c r="G506" i="10"/>
  <c r="H499" i="10"/>
  <c r="H498" i="10"/>
  <c r="H497" i="10"/>
  <c r="G501" i="10"/>
  <c r="G499" i="10"/>
  <c r="G498" i="10"/>
  <c r="G497" i="10"/>
  <c r="E501" i="10"/>
  <c r="E490" i="10"/>
  <c r="D461" i="10"/>
  <c r="E466" i="10" s="1"/>
  <c r="E476" i="10" s="1"/>
  <c r="E455" i="10"/>
  <c r="E454" i="10"/>
  <c r="K454" i="10"/>
  <c r="L454" i="10"/>
  <c r="M454" i="10"/>
  <c r="N454" i="10"/>
  <c r="K368" i="10"/>
  <c r="L368" i="10"/>
  <c r="M368" i="10"/>
  <c r="N368" i="10"/>
  <c r="E442" i="10"/>
  <c r="H440" i="10"/>
  <c r="J433" i="10"/>
  <c r="J454" i="10" s="1"/>
  <c r="H433" i="10"/>
  <c r="K428" i="10"/>
  <c r="K464" i="10" s="1"/>
  <c r="L428" i="10"/>
  <c r="L464" i="10" s="1"/>
  <c r="M428" i="10"/>
  <c r="M464" i="10" s="1"/>
  <c r="N428" i="10"/>
  <c r="J428" i="10"/>
  <c r="J464" i="10" s="1"/>
  <c r="H428" i="10"/>
  <c r="D426" i="10"/>
  <c r="E428" i="10" s="1"/>
  <c r="E464" i="10" s="1"/>
  <c r="G481" i="10"/>
  <c r="E481" i="10"/>
  <c r="H479" i="10"/>
  <c r="G479" i="10"/>
  <c r="G477" i="10"/>
  <c r="H476" i="10"/>
  <c r="G476" i="10"/>
  <c r="H475" i="10"/>
  <c r="G475" i="10"/>
  <c r="G473" i="10"/>
  <c r="E473" i="10"/>
  <c r="H472" i="10"/>
  <c r="G472" i="10"/>
  <c r="H471" i="10"/>
  <c r="G471" i="10"/>
  <c r="G466" i="10"/>
  <c r="H464" i="10"/>
  <c r="H463" i="10"/>
  <c r="G463" i="10"/>
  <c r="E463" i="10"/>
  <c r="E479" i="10" s="1"/>
  <c r="G456" i="10"/>
  <c r="G455" i="10"/>
  <c r="G454" i="10"/>
  <c r="G453" i="10"/>
  <c r="G446" i="10"/>
  <c r="H444" i="10"/>
  <c r="E444" i="10"/>
  <c r="H442" i="10"/>
  <c r="G442" i="10"/>
  <c r="G440" i="10"/>
  <c r="G433" i="10"/>
  <c r="E433" i="10"/>
  <c r="H389" i="10"/>
  <c r="H378" i="10"/>
  <c r="D375" i="10"/>
  <c r="E380" i="10" s="1"/>
  <c r="E390" i="10" s="1"/>
  <c r="E369" i="10"/>
  <c r="E368" i="10"/>
  <c r="E386" i="10" s="1"/>
  <c r="E472" i="10" s="1"/>
  <c r="G395" i="10"/>
  <c r="E395" i="10"/>
  <c r="H393" i="10"/>
  <c r="G393" i="10"/>
  <c r="G391" i="10"/>
  <c r="H390" i="10"/>
  <c r="G390" i="10"/>
  <c r="G389" i="10"/>
  <c r="G387" i="10"/>
  <c r="E387" i="10"/>
  <c r="H385" i="10"/>
  <c r="G385" i="10"/>
  <c r="G380" i="10"/>
  <c r="H377" i="10"/>
  <c r="G377" i="10"/>
  <c r="E377" i="10"/>
  <c r="E393" i="10" s="1"/>
  <c r="G370" i="10"/>
  <c r="G369" i="10"/>
  <c r="G368" i="10"/>
  <c r="G367" i="10"/>
  <c r="H356" i="10"/>
  <c r="G356" i="10"/>
  <c r="H354" i="10"/>
  <c r="J347" i="10"/>
  <c r="J368" i="10" s="1"/>
  <c r="H347" i="10"/>
  <c r="E330" i="10"/>
  <c r="D340" i="10"/>
  <c r="G360" i="10"/>
  <c r="E385" i="10"/>
  <c r="J358" i="10"/>
  <c r="H358" i="10"/>
  <c r="E358" i="10"/>
  <c r="G354" i="10"/>
  <c r="G347" i="10"/>
  <c r="E347" i="10"/>
  <c r="K378" i="10"/>
  <c r="L378" i="10"/>
  <c r="M378" i="10"/>
  <c r="N378" i="10"/>
  <c r="J378" i="10"/>
  <c r="E342" i="10" l="1"/>
  <c r="E378" i="10" s="1"/>
  <c r="N464" i="10"/>
  <c r="G312" i="10"/>
  <c r="E312" i="10"/>
  <c r="H310" i="10"/>
  <c r="G310" i="10"/>
  <c r="H307" i="10"/>
  <c r="H306" i="10"/>
  <c r="G308" i="10"/>
  <c r="G307" i="10"/>
  <c r="G306" i="10"/>
  <c r="H303" i="10"/>
  <c r="H302" i="10"/>
  <c r="G303" i="10"/>
  <c r="G304" i="10"/>
  <c r="G302" i="10"/>
  <c r="E304" i="10"/>
  <c r="H295" i="10"/>
  <c r="G297" i="10"/>
  <c r="K295" i="10"/>
  <c r="L295" i="10"/>
  <c r="M295" i="10"/>
  <c r="N295" i="10"/>
  <c r="J295" i="10"/>
  <c r="H294" i="10"/>
  <c r="G294" i="10"/>
  <c r="E294" i="10"/>
  <c r="E310" i="10" s="1"/>
  <c r="D292" i="10"/>
  <c r="E297" i="10" s="1"/>
  <c r="E303" i="10" s="1"/>
  <c r="E307" i="10" s="1"/>
  <c r="K287" i="10"/>
  <c r="L287" i="10"/>
  <c r="M287" i="10"/>
  <c r="N287" i="10"/>
  <c r="G287" i="10"/>
  <c r="G288" i="10"/>
  <c r="G289" i="10"/>
  <c r="G286" i="10"/>
  <c r="E288" i="10"/>
  <c r="E287" i="10"/>
  <c r="H270" i="10"/>
  <c r="J270" i="10"/>
  <c r="J287" i="10" s="1"/>
  <c r="G270" i="10"/>
  <c r="E270" i="10"/>
  <c r="E279" i="10"/>
  <c r="E302" i="10" s="1"/>
  <c r="G279" i="10"/>
  <c r="H277" i="10"/>
  <c r="K277" i="10"/>
  <c r="L277" i="10"/>
  <c r="M277" i="10"/>
  <c r="N277" i="10"/>
  <c r="J277" i="10"/>
  <c r="E277" i="10"/>
  <c r="H275" i="10"/>
  <c r="G275" i="10"/>
  <c r="E258" i="10"/>
  <c r="E409" i="10" s="1"/>
  <c r="G244" i="10"/>
  <c r="E244" i="10"/>
  <c r="E440" i="10" s="1"/>
  <c r="E475" i="10" s="1"/>
  <c r="H239" i="10"/>
  <c r="K238" i="10"/>
  <c r="L238" i="10"/>
  <c r="M238" i="10"/>
  <c r="N238" i="10"/>
  <c r="K239" i="10"/>
  <c r="L239" i="10"/>
  <c r="M239" i="10"/>
  <c r="N239" i="10"/>
  <c r="J239" i="10"/>
  <c r="J238" i="10"/>
  <c r="F10" i="11"/>
  <c r="B6" i="11"/>
  <c r="A1" i="11"/>
  <c r="C8" i="11" s="1"/>
  <c r="H238" i="10"/>
  <c r="G241" i="10"/>
  <c r="G239" i="10"/>
  <c r="G238" i="10"/>
  <c r="F239" i="10"/>
  <c r="F238" i="10"/>
  <c r="E236" i="10"/>
  <c r="H231" i="10"/>
  <c r="H230" i="10"/>
  <c r="K231" i="10"/>
  <c r="L231" i="10"/>
  <c r="M231" i="10"/>
  <c r="N231" i="10"/>
  <c r="J231" i="10"/>
  <c r="G233" i="10"/>
  <c r="G231" i="10"/>
  <c r="G230" i="10"/>
  <c r="F231" i="10"/>
  <c r="F230" i="10"/>
  <c r="E228" i="10"/>
  <c r="G225" i="10"/>
  <c r="H223" i="10"/>
  <c r="H222" i="10"/>
  <c r="H221" i="10"/>
  <c r="K221" i="10"/>
  <c r="L221" i="10"/>
  <c r="M221" i="10"/>
  <c r="N221" i="10"/>
  <c r="K222" i="10"/>
  <c r="L222" i="10"/>
  <c r="M222" i="10"/>
  <c r="N222" i="10"/>
  <c r="J222" i="10"/>
  <c r="J221" i="10"/>
  <c r="G223" i="10"/>
  <c r="G222" i="10"/>
  <c r="G221" i="10"/>
  <c r="F222" i="10"/>
  <c r="F223" i="10"/>
  <c r="F221" i="10"/>
  <c r="E219" i="10"/>
  <c r="C210" i="10"/>
  <c r="H177" i="10"/>
  <c r="G177" i="10"/>
  <c r="E177" i="10"/>
  <c r="H173" i="10"/>
  <c r="H171" i="10"/>
  <c r="J170" i="10"/>
  <c r="G175" i="10"/>
  <c r="G174" i="10"/>
  <c r="G173" i="10"/>
  <c r="G172" i="10"/>
  <c r="G171" i="10"/>
  <c r="G170" i="10"/>
  <c r="E173" i="10"/>
  <c r="E171" i="10"/>
  <c r="E170" i="10"/>
  <c r="E165" i="10"/>
  <c r="G163" i="10"/>
  <c r="G165" i="10"/>
  <c r="H161" i="10"/>
  <c r="H160" i="10"/>
  <c r="G161" i="10"/>
  <c r="G160" i="10"/>
  <c r="E160" i="10"/>
  <c r="I158" i="10"/>
  <c r="H158" i="10"/>
  <c r="E158" i="10"/>
  <c r="C154" i="10"/>
  <c r="H22" i="10"/>
  <c r="H29" i="10"/>
  <c r="H149" i="10"/>
  <c r="G149" i="10"/>
  <c r="H145" i="10"/>
  <c r="J144" i="10"/>
  <c r="G147" i="10"/>
  <c r="G146" i="10"/>
  <c r="G145" i="10"/>
  <c r="G144" i="10"/>
  <c r="L123" i="10"/>
  <c r="G139" i="10"/>
  <c r="G137" i="10"/>
  <c r="G135" i="10"/>
  <c r="H133" i="10"/>
  <c r="H132" i="10"/>
  <c r="G133" i="10"/>
  <c r="G132" i="10"/>
  <c r="E133" i="10"/>
  <c r="G130" i="10"/>
  <c r="H128" i="10"/>
  <c r="G128" i="10"/>
  <c r="G126" i="10"/>
  <c r="K123" i="10"/>
  <c r="M123" i="10"/>
  <c r="N123" i="10"/>
  <c r="K124" i="10"/>
  <c r="L124" i="10"/>
  <c r="M124" i="10"/>
  <c r="N124" i="10"/>
  <c r="J124" i="10"/>
  <c r="J123" i="10"/>
  <c r="H124" i="10"/>
  <c r="H123" i="10"/>
  <c r="G124" i="10"/>
  <c r="G123" i="10"/>
  <c r="E124" i="10"/>
  <c r="E123" i="10"/>
  <c r="C110" i="10"/>
  <c r="C112" i="10" s="1"/>
  <c r="E101" i="10"/>
  <c r="G95" i="10"/>
  <c r="G93" i="10"/>
  <c r="G107" i="10"/>
  <c r="K105" i="10"/>
  <c r="L105" i="10"/>
  <c r="M105" i="10"/>
  <c r="N105" i="10"/>
  <c r="J105" i="10"/>
  <c r="E105" i="10"/>
  <c r="G103" i="10"/>
  <c r="G101" i="10"/>
  <c r="G100" i="10"/>
  <c r="E100" i="10"/>
  <c r="K92" i="10"/>
  <c r="L92" i="10"/>
  <c r="M92" i="10"/>
  <c r="N92" i="10"/>
  <c r="J92" i="10"/>
  <c r="H92" i="10"/>
  <c r="H91" i="10"/>
  <c r="H90" i="10"/>
  <c r="K90" i="10"/>
  <c r="L90" i="10"/>
  <c r="M90" i="10"/>
  <c r="N90" i="10"/>
  <c r="K91" i="10"/>
  <c r="L91" i="10"/>
  <c r="M91" i="10"/>
  <c r="N91" i="10"/>
  <c r="J91" i="10"/>
  <c r="J90" i="10"/>
  <c r="H88" i="10"/>
  <c r="J88" i="10"/>
  <c r="J100" i="10" s="1"/>
  <c r="G92" i="10"/>
  <c r="G91" i="10"/>
  <c r="G90" i="10"/>
  <c r="G88" i="10"/>
  <c r="E92" i="10"/>
  <c r="E91" i="10"/>
  <c r="E90" i="10"/>
  <c r="C75" i="10"/>
  <c r="C77" i="10" s="1"/>
  <c r="G72" i="10"/>
  <c r="E72" i="10"/>
  <c r="E128" i="10" s="1"/>
  <c r="K61" i="10"/>
  <c r="H67" i="10" s="1"/>
  <c r="L61" i="10"/>
  <c r="H68" i="10" s="1"/>
  <c r="M61" i="10"/>
  <c r="H69" i="10" s="1"/>
  <c r="N61" i="10"/>
  <c r="H70" i="10" s="1"/>
  <c r="J61" i="10"/>
  <c r="H66" i="10" s="1"/>
  <c r="G70" i="10"/>
  <c r="G69" i="10"/>
  <c r="G68" i="10"/>
  <c r="G67" i="10"/>
  <c r="G66" i="10"/>
  <c r="H61" i="10"/>
  <c r="G61" i="10"/>
  <c r="G45" i="10"/>
  <c r="G43" i="10"/>
  <c r="G41" i="10"/>
  <c r="G40" i="10"/>
  <c r="G39" i="10"/>
  <c r="G38" i="10"/>
  <c r="G37" i="10"/>
  <c r="G32" i="10"/>
  <c r="G30" i="10"/>
  <c r="G29" i="10"/>
  <c r="E61" i="10"/>
  <c r="C50" i="10"/>
  <c r="F43" i="10"/>
  <c r="F241" i="10" s="1"/>
  <c r="F32" i="10"/>
  <c r="F233" i="10" s="1"/>
  <c r="G20" i="10"/>
  <c r="G21" i="10"/>
  <c r="G22" i="10"/>
  <c r="G24" i="10"/>
  <c r="G19" i="10"/>
  <c r="F24" i="10"/>
  <c r="F225" i="10" s="1"/>
  <c r="A1" i="10"/>
  <c r="H15" i="6"/>
  <c r="C13" i="10"/>
  <c r="C7" i="10"/>
  <c r="C8" i="10"/>
  <c r="C9" i="10"/>
  <c r="C6" i="10"/>
  <c r="B11" i="10"/>
  <c r="E295" i="10" l="1"/>
  <c r="E326" i="10"/>
  <c r="N241" i="10"/>
  <c r="D168" i="10"/>
  <c r="E193" i="10"/>
  <c r="D196" i="10" s="1"/>
  <c r="E199" i="10"/>
  <c r="E201" i="10"/>
  <c r="L241" i="10"/>
  <c r="E275" i="10"/>
  <c r="E306" i="10" s="1"/>
  <c r="E354" i="10"/>
  <c r="E389" i="10" s="1"/>
  <c r="M241" i="10"/>
  <c r="K241" i="10"/>
  <c r="B48" i="10"/>
  <c r="B75" i="10" s="1"/>
  <c r="B110" i="10" s="1"/>
  <c r="J241" i="10"/>
  <c r="E149" i="10"/>
  <c r="J126" i="10"/>
  <c r="K126" i="10"/>
  <c r="J93" i="10"/>
  <c r="J95" i="10" s="1"/>
  <c r="J101" i="10" s="1"/>
  <c r="J103" i="10" s="1"/>
  <c r="J107" i="10" s="1"/>
  <c r="J29" i="10" s="1"/>
  <c r="E146" i="10"/>
  <c r="L126" i="10"/>
  <c r="K93" i="10"/>
  <c r="K95" i="10" s="1"/>
  <c r="K101" i="10" s="1"/>
  <c r="L93" i="10"/>
  <c r="L95" i="10" s="1"/>
  <c r="L101" i="10" s="1"/>
  <c r="N93" i="10"/>
  <c r="N95" i="10" s="1"/>
  <c r="N101" i="10" s="1"/>
  <c r="N126" i="10"/>
  <c r="D142" i="10"/>
  <c r="M93" i="10"/>
  <c r="M95" i="10" s="1"/>
  <c r="M101" i="10" s="1"/>
  <c r="M126" i="10"/>
  <c r="E107" i="10"/>
  <c r="E132" i="10" s="1"/>
  <c r="B6" i="9"/>
  <c r="A1" i="9"/>
  <c r="C6" i="9" s="1"/>
  <c r="E161" i="10" l="1"/>
  <c r="E189" i="10"/>
  <c r="E174" i="10"/>
  <c r="E172" i="10"/>
  <c r="E198" i="10" s="1"/>
  <c r="B152" i="10"/>
  <c r="B180" i="10" s="1"/>
  <c r="B208" i="10" s="1"/>
  <c r="J230" i="10"/>
  <c r="J132" i="10"/>
  <c r="J161" i="10" s="1"/>
  <c r="J9" i="6"/>
  <c r="E202" i="10" l="1"/>
  <c r="E200" i="10"/>
  <c r="B247" i="10"/>
  <c r="K9" i="6"/>
  <c r="J9" i="10"/>
  <c r="J419" i="10" s="1"/>
  <c r="J444" i="10" s="1"/>
  <c r="J32" i="10"/>
  <c r="J233" i="10"/>
  <c r="J367" i="10" l="1"/>
  <c r="J453" i="10"/>
  <c r="B315" i="10"/>
  <c r="B398" i="10" s="1"/>
  <c r="L9" i="6"/>
  <c r="K9" i="10"/>
  <c r="K419" i="10" s="1"/>
  <c r="K444" i="10" s="1"/>
  <c r="J286" i="10"/>
  <c r="J68" i="10"/>
  <c r="J70" i="10"/>
  <c r="J66" i="10"/>
  <c r="J67" i="10"/>
  <c r="J69" i="10"/>
  <c r="B11" i="6"/>
  <c r="A1" i="6"/>
  <c r="J386" i="10" l="1"/>
  <c r="J352" i="10"/>
  <c r="J472" i="10"/>
  <c r="J438" i="10"/>
  <c r="B484" i="10"/>
  <c r="J479" i="10"/>
  <c r="J463" i="10"/>
  <c r="J393" i="10"/>
  <c r="J377" i="10"/>
  <c r="J380" i="10" s="1"/>
  <c r="J390" i="10" s="1"/>
  <c r="K67" i="10"/>
  <c r="K66" i="10"/>
  <c r="J72" i="10"/>
  <c r="J128" i="10" s="1"/>
  <c r="J130" i="10" s="1"/>
  <c r="J188" i="10" s="1"/>
  <c r="M9" i="6"/>
  <c r="L9" i="10"/>
  <c r="L419" i="10" s="1"/>
  <c r="L444" i="10" s="1"/>
  <c r="J310" i="10"/>
  <c r="J294" i="10"/>
  <c r="K70" i="10"/>
  <c r="K68" i="10"/>
  <c r="K69" i="10"/>
  <c r="A1" i="5"/>
  <c r="J297" i="10" l="1"/>
  <c r="J466" i="10"/>
  <c r="J507" i="10"/>
  <c r="K72" i="10"/>
  <c r="K128" i="10" s="1"/>
  <c r="K130" i="10" s="1"/>
  <c r="K188" i="10" s="1"/>
  <c r="L70" i="10"/>
  <c r="L69" i="10"/>
  <c r="L66" i="10"/>
  <c r="L68" i="10"/>
  <c r="M9" i="10"/>
  <c r="M446" i="10" s="1"/>
  <c r="N9" i="6"/>
  <c r="N9" i="10" s="1"/>
  <c r="J160" i="10"/>
  <c r="L67" i="10"/>
  <c r="I37" i="4"/>
  <c r="J508" i="10" l="1"/>
  <c r="J476" i="10"/>
  <c r="J510" i="10"/>
  <c r="J506" i="10"/>
  <c r="J303" i="10"/>
  <c r="J307" i="10" s="1"/>
  <c r="N360" i="10"/>
  <c r="N385" i="10" s="1"/>
  <c r="N446" i="10"/>
  <c r="N471" i="10" s="1"/>
  <c r="K160" i="10"/>
  <c r="J163" i="10"/>
  <c r="J165" i="10" s="1"/>
  <c r="J171" i="10" s="1"/>
  <c r="J172" i="10" s="1"/>
  <c r="J177" i="10" s="1"/>
  <c r="J191" i="10"/>
  <c r="J193" i="10" s="1"/>
  <c r="J199" i="10" s="1"/>
  <c r="M419" i="10"/>
  <c r="M444" i="10" s="1"/>
  <c r="N419" i="10"/>
  <c r="N444" i="10" s="1"/>
  <c r="M68" i="10"/>
  <c r="N68" i="10" s="1"/>
  <c r="L72" i="10"/>
  <c r="L128" i="10" s="1"/>
  <c r="L130" i="10" s="1"/>
  <c r="L188" i="10" s="1"/>
  <c r="M70" i="10"/>
  <c r="N70" i="10" s="1"/>
  <c r="M67" i="10"/>
  <c r="N67" i="10" s="1"/>
  <c r="M69" i="10"/>
  <c r="N69" i="10" s="1"/>
  <c r="M66" i="10"/>
  <c r="A1" i="2"/>
  <c r="E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J21" i="10" l="1"/>
  <c r="J133" i="10" s="1"/>
  <c r="J135" i="10" s="1"/>
  <c r="L160" i="10"/>
  <c r="J200" i="10"/>
  <c r="J205" i="10" s="1"/>
  <c r="J223" i="10" s="1"/>
  <c r="J225" i="10" s="1"/>
  <c r="J244" i="10" s="1"/>
  <c r="J440" i="10" s="1"/>
  <c r="J475" i="10" s="1"/>
  <c r="J477" i="10" s="1"/>
  <c r="M72" i="10"/>
  <c r="M128" i="10" s="1"/>
  <c r="M130" i="10" s="1"/>
  <c r="M188" i="10" s="1"/>
  <c r="N66" i="10"/>
  <c r="N72" i="10" s="1"/>
  <c r="N128" i="10" s="1"/>
  <c r="N130" i="10" s="1"/>
  <c r="N188" i="10" s="1"/>
  <c r="A2" i="10"/>
  <c r="A2" i="11"/>
  <c r="A2" i="9"/>
  <c r="A2" i="6"/>
  <c r="A2" i="2"/>
  <c r="A2" i="5"/>
  <c r="B56" i="4"/>
  <c r="A2" i="4"/>
  <c r="A2" i="3"/>
  <c r="C6" i="1"/>
  <c r="H21" i="6"/>
  <c r="J137" i="10" l="1"/>
  <c r="J145" i="10" s="1"/>
  <c r="J306" i="10"/>
  <c r="J308" i="10" s="1"/>
  <c r="J275" i="10"/>
  <c r="J279" i="10" s="1"/>
  <c r="J302" i="10" s="1"/>
  <c r="J304" i="10" s="1"/>
  <c r="J354" i="10"/>
  <c r="J389" i="10" s="1"/>
  <c r="J391" i="10" s="1"/>
  <c r="N160" i="10"/>
  <c r="M160" i="10"/>
  <c r="J203" i="10"/>
  <c r="K198" i="10" s="1"/>
  <c r="J6" i="6"/>
  <c r="I19" i="6"/>
  <c r="J139" i="10" l="1"/>
  <c r="J173" i="10"/>
  <c r="J146" i="10"/>
  <c r="J149" i="10" s="1"/>
  <c r="J22" i="10" s="1"/>
  <c r="J24" i="10" s="1"/>
  <c r="J312" i="10"/>
  <c r="J497" i="10" s="1"/>
  <c r="J6" i="10"/>
  <c r="J7" i="6"/>
  <c r="J147" i="10" l="1"/>
  <c r="J174" i="10" s="1"/>
  <c r="J175" i="10" s="1"/>
  <c r="K170" i="10" s="1"/>
  <c r="J288" i="10"/>
  <c r="J289" i="10" s="1"/>
  <c r="K286" i="10" s="1"/>
  <c r="K294" i="10" s="1"/>
  <c r="K297" i="10" s="1"/>
  <c r="J5" i="6"/>
  <c r="J5" i="10" s="1"/>
  <c r="E66" i="10" s="1"/>
  <c r="J8" i="6"/>
  <c r="J8" i="10" s="1"/>
  <c r="J7" i="10"/>
  <c r="K6" i="6"/>
  <c r="K144" i="10" l="1"/>
  <c r="K506" i="10"/>
  <c r="K303" i="10"/>
  <c r="K307" i="10" s="1"/>
  <c r="K310" i="10"/>
  <c r="K6" i="10"/>
  <c r="K7" i="6"/>
  <c r="K7" i="10" l="1"/>
  <c r="K5" i="6"/>
  <c r="K5" i="10" s="1"/>
  <c r="E67" i="10" s="1"/>
  <c r="L6" i="6"/>
  <c r="K8" i="6"/>
  <c r="K8" i="10" s="1"/>
  <c r="L6" i="10" l="1"/>
  <c r="L7" i="6"/>
  <c r="L8" i="6" l="1"/>
  <c r="L8" i="10" s="1"/>
  <c r="L5" i="6"/>
  <c r="L5" i="10" s="1"/>
  <c r="E68" i="10" s="1"/>
  <c r="L7" i="10"/>
  <c r="M6" i="6"/>
  <c r="M6" i="10" l="1"/>
  <c r="M7" i="6"/>
  <c r="M7" i="10" l="1"/>
  <c r="N6" i="6"/>
  <c r="M8" i="6"/>
  <c r="M8" i="10" s="1"/>
  <c r="M5" i="6"/>
  <c r="M5" i="10" s="1"/>
  <c r="E69" i="10" s="1"/>
  <c r="N6" i="10" l="1"/>
  <c r="N7" i="6"/>
  <c r="N7" i="10" l="1"/>
  <c r="N8" i="6"/>
  <c r="N8" i="10" s="1"/>
  <c r="N5" i="6"/>
  <c r="N5" i="10" s="1"/>
  <c r="E70" i="10" s="1"/>
  <c r="M471" i="10" l="1"/>
  <c r="K191" i="10" l="1"/>
  <c r="K193" i="10" s="1"/>
  <c r="K199" i="10" s="1"/>
  <c r="L191" i="10"/>
  <c r="L193" i="10" s="1"/>
  <c r="L199" i="10" s="1"/>
  <c r="M191" i="10"/>
  <c r="M193" i="10" s="1"/>
  <c r="M199" i="10" s="1"/>
  <c r="N191" i="10"/>
  <c r="N193" i="10" s="1"/>
  <c r="N199" i="10" s="1"/>
  <c r="K200" i="10" l="1"/>
  <c r="K205" i="10" s="1"/>
  <c r="K203" i="10" l="1"/>
  <c r="L198" i="10" s="1"/>
  <c r="L200" i="10" s="1"/>
  <c r="L205" i="10" s="1"/>
  <c r="L203" i="10" l="1"/>
  <c r="M198" i="10" s="1"/>
  <c r="M200" i="10" l="1"/>
  <c r="M205" i="10" s="1"/>
  <c r="M203" i="10" l="1"/>
  <c r="N198" i="10" s="1"/>
  <c r="N200" i="10" s="1"/>
  <c r="N205" i="10" s="1"/>
  <c r="N203" i="10" l="1"/>
  <c r="J501" i="10" l="1"/>
  <c r="J38" i="10" s="1"/>
  <c r="J43" i="10" l="1"/>
  <c r="J45" i="10" s="1"/>
  <c r="K88" i="10" s="1"/>
  <c r="K100" i="10" s="1"/>
  <c r="K103" i="10" s="1"/>
  <c r="K107" i="10" s="1"/>
  <c r="K29" i="10" s="1"/>
  <c r="K132" i="10" l="1"/>
  <c r="K161" i="10" s="1"/>
  <c r="K163" i="10" s="1"/>
  <c r="K165" i="10" s="1"/>
  <c r="K171" i="10" s="1"/>
  <c r="K172" i="10" s="1"/>
  <c r="K177" i="10" s="1"/>
  <c r="K223" i="10" s="1"/>
  <c r="K225" i="10" s="1"/>
  <c r="K32" i="10" l="1"/>
  <c r="K230" i="10"/>
  <c r="K233" i="10" s="1"/>
  <c r="K244" i="10" s="1"/>
  <c r="K354" i="10" l="1"/>
  <c r="K389" i="10" s="1"/>
  <c r="K440" i="10"/>
  <c r="K306" i="10"/>
  <c r="K308" i="10" s="1"/>
  <c r="K275" i="10"/>
  <c r="K279" i="10" s="1"/>
  <c r="K302" i="10" s="1"/>
  <c r="K304" i="10" s="1"/>
  <c r="K475" i="10"/>
  <c r="K312" i="10" l="1"/>
  <c r="K497" i="10" s="1"/>
  <c r="K501" i="10" s="1"/>
  <c r="K38" i="10" s="1"/>
  <c r="K43" i="10" s="1"/>
  <c r="K288" i="10" l="1"/>
  <c r="K289" i="10" s="1"/>
  <c r="L286" i="10" s="1"/>
  <c r="L310" i="10" s="1"/>
  <c r="K510" i="10"/>
  <c r="K21" i="10" s="1"/>
  <c r="L294" i="10" l="1"/>
  <c r="L297" i="10" s="1"/>
  <c r="L506" i="10" s="1"/>
  <c r="L510" i="10" s="1"/>
  <c r="L21" i="10" s="1"/>
  <c r="K133" i="10"/>
  <c r="K135" i="10" s="1"/>
  <c r="L303" i="10" l="1"/>
  <c r="L307" i="10" s="1"/>
  <c r="L133" i="10"/>
  <c r="K137" i="10"/>
  <c r="K145" i="10" s="1"/>
  <c r="K146" i="10" l="1"/>
  <c r="K149" i="10" s="1"/>
  <c r="K22" i="10" s="1"/>
  <c r="K173" i="10"/>
  <c r="K139" i="10"/>
  <c r="K24" i="10" l="1"/>
  <c r="K45" i="10" s="1"/>
  <c r="L88" i="10" s="1"/>
  <c r="L100" i="10" s="1"/>
  <c r="L103" i="10" s="1"/>
  <c r="L107" i="10" s="1"/>
  <c r="L29" i="10" s="1"/>
  <c r="K147" i="10"/>
  <c r="L132" i="10" l="1"/>
  <c r="L161" i="10" s="1"/>
  <c r="L163" i="10" s="1"/>
  <c r="L165" i="10" s="1"/>
  <c r="L171" i="10" s="1"/>
  <c r="L144" i="10"/>
  <c r="K174" i="10"/>
  <c r="K175" i="10" s="1"/>
  <c r="L170" i="10" s="1"/>
  <c r="L32" i="10"/>
  <c r="L230" i="10"/>
  <c r="L233" i="10" s="1"/>
  <c r="L135" i="10" l="1"/>
  <c r="L137" i="10" s="1"/>
  <c r="L145" i="10" s="1"/>
  <c r="L173" i="10" s="1"/>
  <c r="L172" i="10"/>
  <c r="L177" i="10" s="1"/>
  <c r="L223" i="10" s="1"/>
  <c r="L225" i="10" s="1"/>
  <c r="L244" i="10" s="1"/>
  <c r="L146" i="10" l="1"/>
  <c r="L149" i="10" s="1"/>
  <c r="L22" i="10" s="1"/>
  <c r="L440" i="10"/>
  <c r="L354" i="10"/>
  <c r="L275" i="10"/>
  <c r="L279" i="10" s="1"/>
  <c r="L302" i="10" s="1"/>
  <c r="L304" i="10" s="1"/>
  <c r="L306" i="10"/>
  <c r="L308" i="10" s="1"/>
  <c r="L139" i="10"/>
  <c r="L24" i="10" l="1"/>
  <c r="L312" i="10"/>
  <c r="L497" i="10" s="1"/>
  <c r="L501" i="10" s="1"/>
  <c r="L38" i="10" s="1"/>
  <c r="L147" i="10"/>
  <c r="L174" i="10" s="1"/>
  <c r="L175" i="10" s="1"/>
  <c r="M170" i="10" s="1"/>
  <c r="L389" i="10"/>
  <c r="L475" i="10"/>
  <c r="L43" i="10" l="1"/>
  <c r="L45" i="10" s="1"/>
  <c r="M88" i="10" s="1"/>
  <c r="M100" i="10" s="1"/>
  <c r="M103" i="10" s="1"/>
  <c r="M107" i="10" s="1"/>
  <c r="M29" i="10" s="1"/>
  <c r="L288" i="10"/>
  <c r="L289" i="10" s="1"/>
  <c r="M286" i="10" s="1"/>
  <c r="M294" i="10" s="1"/>
  <c r="M297" i="10" s="1"/>
  <c r="M303" i="10" s="1"/>
  <c r="M307" i="10" s="1"/>
  <c r="M144" i="10"/>
  <c r="M132" i="10" l="1"/>
  <c r="M161" i="10" s="1"/>
  <c r="M163" i="10" s="1"/>
  <c r="M165" i="10" s="1"/>
  <c r="M171" i="10" s="1"/>
  <c r="M310" i="10"/>
  <c r="M506" i="10"/>
  <c r="M510" i="10" s="1"/>
  <c r="M21" i="10" s="1"/>
  <c r="M230" i="10"/>
  <c r="M233" i="10" s="1"/>
  <c r="M32" i="10"/>
  <c r="M172" i="10" l="1"/>
  <c r="M177" i="10" s="1"/>
  <c r="M223" i="10" s="1"/>
  <c r="M225" i="10" s="1"/>
  <c r="M244" i="10" s="1"/>
  <c r="M133" i="10"/>
  <c r="M135" i="10" s="1"/>
  <c r="M354" i="10" l="1"/>
  <c r="M440" i="10"/>
  <c r="M306" i="10"/>
  <c r="M308" i="10" s="1"/>
  <c r="M275" i="10"/>
  <c r="M279" i="10" s="1"/>
  <c r="M302" i="10" s="1"/>
  <c r="M304" i="10" s="1"/>
  <c r="M137" i="10"/>
  <c r="M145" i="10" s="1"/>
  <c r="M312" i="10" l="1"/>
  <c r="M497" i="10" s="1"/>
  <c r="M501" i="10" s="1"/>
  <c r="M38" i="10" s="1"/>
  <c r="M173" i="10"/>
  <c r="M146" i="10"/>
  <c r="M149" i="10" s="1"/>
  <c r="M22" i="10" s="1"/>
  <c r="M139" i="10"/>
  <c r="M475" i="10"/>
  <c r="M389" i="10"/>
  <c r="M24" i="10" l="1"/>
  <c r="M43" i="10"/>
  <c r="M288" i="10"/>
  <c r="M289" i="10" s="1"/>
  <c r="N286" i="10" s="1"/>
  <c r="N294" i="10" s="1"/>
  <c r="N297" i="10" s="1"/>
  <c r="N303" i="10" s="1"/>
  <c r="N307" i="10" s="1"/>
  <c r="M147" i="10"/>
  <c r="M45" i="10" l="1"/>
  <c r="N88" i="10" s="1"/>
  <c r="N100" i="10" s="1"/>
  <c r="N103" i="10" s="1"/>
  <c r="N107" i="10" s="1"/>
  <c r="N29" i="10" s="1"/>
  <c r="N310" i="10"/>
  <c r="N144" i="10"/>
  <c r="M174" i="10"/>
  <c r="M175" i="10" s="1"/>
  <c r="N170" i="10" s="1"/>
  <c r="N506" i="10"/>
  <c r="N510" i="10" s="1"/>
  <c r="N21" i="10" s="1"/>
  <c r="N132" i="10" l="1"/>
  <c r="N161" i="10" s="1"/>
  <c r="N163" i="10" s="1"/>
  <c r="N165" i="10" s="1"/>
  <c r="N171" i="10" s="1"/>
  <c r="N172" i="10" s="1"/>
  <c r="N133" i="10"/>
  <c r="N32" i="10"/>
  <c r="N230" i="10"/>
  <c r="N233" i="10" s="1"/>
  <c r="N135" i="10" l="1"/>
  <c r="N137" i="10" s="1"/>
  <c r="N145" i="10" s="1"/>
  <c r="N177" i="10"/>
  <c r="N223" i="10" s="1"/>
  <c r="N225" i="10" s="1"/>
  <c r="N244" i="10" s="1"/>
  <c r="N139" i="10" l="1"/>
  <c r="N173" i="10"/>
  <c r="N146" i="10"/>
  <c r="N149" i="10" s="1"/>
  <c r="N22" i="10" s="1"/>
  <c r="N354" i="10"/>
  <c r="N275" i="10"/>
  <c r="N279" i="10" s="1"/>
  <c r="N302" i="10" s="1"/>
  <c r="N304" i="10" s="1"/>
  <c r="N440" i="10"/>
  <c r="M442" i="10" s="1"/>
  <c r="L442" i="10" s="1"/>
  <c r="K442" i="10" s="1"/>
  <c r="N306" i="10"/>
  <c r="N308" i="10" s="1"/>
  <c r="N24" i="10" l="1"/>
  <c r="M356" i="10"/>
  <c r="L356" i="10" s="1"/>
  <c r="K356" i="10" s="1"/>
  <c r="J356" i="10" s="1"/>
  <c r="N147" i="10"/>
  <c r="N174" i="10" s="1"/>
  <c r="N175" i="10" s="1"/>
  <c r="N312" i="10"/>
  <c r="N389" i="10"/>
  <c r="N475" i="10"/>
  <c r="L446" i="10" l="1"/>
  <c r="L471" i="10" s="1"/>
  <c r="J442" i="10"/>
  <c r="M360" i="10"/>
  <c r="M385" i="10" s="1"/>
  <c r="N497" i="10"/>
  <c r="N501" i="10" s="1"/>
  <c r="N38" i="10" s="1"/>
  <c r="N288" i="10"/>
  <c r="N289" i="10" s="1"/>
  <c r="N43" i="10" l="1"/>
  <c r="N45" i="10" s="1"/>
  <c r="L360" i="10"/>
  <c r="L385" i="10" s="1"/>
  <c r="K446" i="10"/>
  <c r="K471" i="10" s="1"/>
  <c r="J446" i="10"/>
  <c r="J471" i="10" s="1"/>
  <c r="J473" i="10" s="1"/>
  <c r="J481" i="10" s="1"/>
  <c r="J455" i="10" l="1"/>
  <c r="J456" i="10" s="1"/>
  <c r="J499" i="10"/>
  <c r="J360" i="10"/>
  <c r="J385" i="10" s="1"/>
  <c r="J387" i="10" s="1"/>
  <c r="J395" i="10" s="1"/>
  <c r="K360" i="10"/>
  <c r="K385" i="10" s="1"/>
  <c r="J369" i="10" l="1"/>
  <c r="J370" i="10" s="1"/>
  <c r="J498" i="10"/>
  <c r="J458" i="10"/>
  <c r="K453" i="10"/>
  <c r="K472" i="10" l="1"/>
  <c r="K473" i="10" s="1"/>
  <c r="K463" i="10"/>
  <c r="K466" i="10" s="1"/>
  <c r="K476" i="10" s="1"/>
  <c r="K438" i="10"/>
  <c r="K479" i="10"/>
  <c r="J372" i="10"/>
  <c r="K367" i="10"/>
  <c r="K508" i="10" l="1"/>
  <c r="K477" i="10"/>
  <c r="K481" i="10" s="1"/>
  <c r="K386" i="10"/>
  <c r="K387" i="10" s="1"/>
  <c r="K377" i="10"/>
  <c r="K380" i="10" s="1"/>
  <c r="K390" i="10" s="1"/>
  <c r="K352" i="10"/>
  <c r="K393" i="10"/>
  <c r="K499" i="10" l="1"/>
  <c r="K455" i="10"/>
  <c r="K456" i="10" s="1"/>
  <c r="K507" i="10"/>
  <c r="K391" i="10"/>
  <c r="K395" i="10" s="1"/>
  <c r="K369" i="10" l="1"/>
  <c r="K370" i="10" s="1"/>
  <c r="K498" i="10"/>
  <c r="K458" i="10"/>
  <c r="L453" i="10"/>
  <c r="L463" i="10" l="1"/>
  <c r="L466" i="10" s="1"/>
  <c r="L476" i="10" s="1"/>
  <c r="L479" i="10"/>
  <c r="L472" i="10"/>
  <c r="L473" i="10" s="1"/>
  <c r="L438" i="10"/>
  <c r="K372" i="10"/>
  <c r="L367" i="10"/>
  <c r="L377" i="10" l="1"/>
  <c r="L380" i="10" s="1"/>
  <c r="L390" i="10" s="1"/>
  <c r="L352" i="10"/>
  <c r="L393" i="10"/>
  <c r="L386" i="10"/>
  <c r="L387" i="10" s="1"/>
  <c r="L477" i="10"/>
  <c r="L481" i="10" s="1"/>
  <c r="L508" i="10"/>
  <c r="L455" i="10" l="1"/>
  <c r="L456" i="10" s="1"/>
  <c r="L499" i="10"/>
  <c r="L507" i="10"/>
  <c r="L391" i="10"/>
  <c r="L395" i="10" s="1"/>
  <c r="L498" i="10" l="1"/>
  <c r="L369" i="10"/>
  <c r="L370" i="10" s="1"/>
  <c r="L458" i="10"/>
  <c r="M453" i="10"/>
  <c r="M479" i="10" l="1"/>
  <c r="M472" i="10"/>
  <c r="M473" i="10" s="1"/>
  <c r="M438" i="10"/>
  <c r="M463" i="10"/>
  <c r="M466" i="10" s="1"/>
  <c r="M476" i="10" s="1"/>
  <c r="L372" i="10"/>
  <c r="M367" i="10"/>
  <c r="M377" i="10" l="1"/>
  <c r="M380" i="10" s="1"/>
  <c r="M390" i="10" s="1"/>
  <c r="M352" i="10"/>
  <c r="M393" i="10"/>
  <c r="M386" i="10"/>
  <c r="M387" i="10" s="1"/>
  <c r="M477" i="10"/>
  <c r="M481" i="10" s="1"/>
  <c r="M508" i="10"/>
  <c r="M499" i="10" l="1"/>
  <c r="M455" i="10"/>
  <c r="M456" i="10" s="1"/>
  <c r="M391" i="10"/>
  <c r="M395" i="10" s="1"/>
  <c r="M507" i="10"/>
  <c r="M498" i="10" l="1"/>
  <c r="M369" i="10"/>
  <c r="M370" i="10" s="1"/>
  <c r="N453" i="10"/>
  <c r="M458" i="10"/>
  <c r="N479" i="10" l="1"/>
  <c r="N472" i="10"/>
  <c r="N473" i="10" s="1"/>
  <c r="N438" i="10"/>
  <c r="N463" i="10"/>
  <c r="N466" i="10" s="1"/>
  <c r="N476" i="10" s="1"/>
  <c r="M372" i="10"/>
  <c r="N367" i="10"/>
  <c r="N393" i="10" l="1"/>
  <c r="N386" i="10"/>
  <c r="N387" i="10" s="1"/>
  <c r="N352" i="10"/>
  <c r="N377" i="10"/>
  <c r="N380" i="10" s="1"/>
  <c r="N390" i="10" s="1"/>
  <c r="N477" i="10"/>
  <c r="N481" i="10" s="1"/>
  <c r="N508" i="10"/>
  <c r="N507" i="10" l="1"/>
  <c r="N391" i="10"/>
  <c r="N395" i="10" s="1"/>
  <c r="N455" i="10"/>
  <c r="N456" i="10" s="1"/>
  <c r="N458" i="10" s="1"/>
  <c r="I458" i="10" s="1"/>
  <c r="I13" i="5" s="1"/>
  <c r="N499" i="10"/>
  <c r="N498" i="10" l="1"/>
  <c r="N369" i="10"/>
  <c r="N370" i="10" s="1"/>
  <c r="N372" i="10" s="1"/>
  <c r="I372" i="10" s="1"/>
  <c r="I12" i="5" s="1"/>
  <c r="I17" i="5" s="1"/>
  <c r="F4" i="9" l="1"/>
  <c r="G4" i="3"/>
  <c r="F4" i="5"/>
  <c r="G4" i="10"/>
  <c r="F4" i="6"/>
  <c r="I4" i="4"/>
  <c r="I4" i="2"/>
  <c r="G4" i="11"/>
</calcChain>
</file>

<file path=xl/sharedStrings.xml><?xml version="1.0" encoding="utf-8"?>
<sst xmlns="http://schemas.openxmlformats.org/spreadsheetml/2006/main" count="290" uniqueCount="179">
  <si>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</si>
  <si>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</si>
  <si>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</si>
  <si>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</si>
  <si>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</si>
  <si>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</si>
  <si>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</si>
  <si>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</si>
  <si>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</si>
  <si>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</si>
  <si>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</si>
  <si>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</si>
  <si>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</si>
  <si>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</si>
  <si>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</si>
  <si>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</si>
  <si>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</si>
  <si>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</si>
  <si>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</si>
  <si>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</si>
  <si>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</si>
  <si>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</si>
  <si>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</si>
  <si>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</si>
  <si>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</si>
  <si>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</si>
  <si>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</si>
  <si>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</si>
  <si>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</si>
  <si>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</si>
  <si>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</si>
  <si>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</si>
  <si>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</si>
  <si>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</si>
  <si>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</si>
  <si>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</si>
  <si>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</si>
  <si>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</si>
  <si>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</si>
  <si>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</si>
  <si>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</si>
  <si>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</si>
  <si>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</si>
  <si>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</si>
  <si>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</si>
  <si>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</si>
  <si>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</si>
  <si>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</si>
  <si>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</si>
  <si>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</si>
  <si>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</si>
  <si>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</si>
  <si>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</si>
  <si>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</si>
  <si>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</si>
  <si>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</si>
  <si>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</si>
  <si>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</si>
  <si>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</si>
  <si>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</si>
  <si>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</si>
  <si>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</si>
  <si>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</si>
  <si>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</si>
  <si>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</si>
  <si>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</si>
  <si>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</si>
  <si>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</si>
  <si>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</si>
  <si>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</si>
  <si>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Timing</t>
  </si>
  <si>
    <t>Start Date</t>
  </si>
  <si>
    <t>End Date</t>
  </si>
  <si>
    <t>Counter</t>
  </si>
  <si>
    <t>Number of Days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</si>
  <si>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</si>
  <si>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</si>
  <si>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</si>
  <si>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</si>
  <si>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</si>
  <si>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</si>
  <si>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Months per Year</t>
  </si>
  <si>
    <t>Change Log</t>
  </si>
  <si>
    <t xml:space="preserve">Model Version </t>
  </si>
  <si>
    <t>Details of change</t>
  </si>
  <si>
    <t>Worksheet Reference</t>
  </si>
  <si>
    <t>Row, column, cell reference</t>
  </si>
  <si>
    <t>Summary</t>
  </si>
  <si>
    <t>Author</t>
  </si>
  <si>
    <t>SumProduct Pty Ltd</t>
  </si>
  <si>
    <t>Cash Flow Statement</t>
  </si>
  <si>
    <t>From Accounting / Financial Modelling</t>
  </si>
  <si>
    <t>Operating Activities</t>
  </si>
  <si>
    <t>Cash Receipts</t>
  </si>
  <si>
    <t>Cash Payments</t>
  </si>
  <si>
    <t>Interest Paid</t>
  </si>
  <si>
    <t>Tax Paid</t>
  </si>
  <si>
    <t>$'000</t>
  </si>
  <si>
    <t>Investing Activities</t>
  </si>
  <si>
    <t>Interest Received</t>
  </si>
  <si>
    <t>Net Capital Expenditure</t>
  </si>
  <si>
    <t>Financing Activities</t>
  </si>
  <si>
    <t>Debt Drawdowns</t>
  </si>
  <si>
    <t>Debt Repayments</t>
  </si>
  <si>
    <t>Equity Issuances</t>
  </si>
  <si>
    <t>Equity Buybacks</t>
  </si>
  <si>
    <t>Dividends Paid</t>
  </si>
  <si>
    <t>Cash Flow Movement for the Period</t>
  </si>
  <si>
    <t>Depreciation</t>
  </si>
  <si>
    <t>Straight Line, Full Depreciation in Period of Acquisition, No Opening Balance</t>
  </si>
  <si>
    <t>Periodic Rate</t>
  </si>
  <si>
    <t>%</t>
  </si>
  <si>
    <t>Referred Values</t>
  </si>
  <si>
    <t>Calculations</t>
  </si>
  <si>
    <t>Operating / investing cash assumed to accrue evenly throughout period; financing inflows at beginning of period and outflows (interest paid) at end of period</t>
  </si>
  <si>
    <t>Opening Balance</t>
  </si>
  <si>
    <t>Average Cash Deposit</t>
  </si>
  <si>
    <t>Subtotal</t>
  </si>
  <si>
    <t>Average Relevant Period Cashflows</t>
  </si>
  <si>
    <t>Tax is assumed to be paid on a "cash tax" basis with no delays in payment.</t>
  </si>
  <si>
    <t>Tax Rate</t>
  </si>
  <si>
    <t>Earnings Before Interest, Tax, Depreciation and Amortisation</t>
  </si>
  <si>
    <t>Earnings Before Interest and Tax</t>
  </si>
  <si>
    <t>Net Profit Before Tax</t>
  </si>
  <si>
    <t>Net Profit After Tax</t>
  </si>
  <si>
    <t>Tax (Expense) / Credit</t>
  </si>
  <si>
    <t>Referred Values / Calculations</t>
  </si>
  <si>
    <t>Tax Expense / (Credit)</t>
  </si>
  <si>
    <t>Closing Balance</t>
  </si>
  <si>
    <t>Net Profit Before Interest Paid and Tax</t>
  </si>
  <si>
    <t>Cash Flow Available for Debt Servicing (CFADS)</t>
  </si>
  <si>
    <t>Include or Exclude</t>
  </si>
  <si>
    <t>Exclude</t>
  </si>
  <si>
    <t>Include</t>
  </si>
  <si>
    <t>LU_Include_or_Exclude</t>
  </si>
  <si>
    <t>Debt Sculpting: DSCR Basis</t>
  </si>
  <si>
    <t>Not all cashflows are included.  Opening balances are traditionally ignored.  Repayments / later items in cash cascade are excluded.</t>
  </si>
  <si>
    <t>We assume debt is repaid at the end of each period, i.e. interest is calculated on the opening balance only.</t>
  </si>
  <si>
    <t>Key Assumption</t>
  </si>
  <si>
    <t>Interest Rate</t>
  </si>
  <si>
    <t>Debt Service Coverage Ratio (DSCR)</t>
  </si>
  <si>
    <t>Target DSCR</t>
  </si>
  <si>
    <t>x</t>
  </si>
  <si>
    <t>Target Debt Service</t>
  </si>
  <si>
    <t>Opening Debt Balance</t>
  </si>
  <si>
    <t>Debt Control Account</t>
  </si>
  <si>
    <t>Opening Debt</t>
  </si>
  <si>
    <t>Closing Debt</t>
  </si>
  <si>
    <t>Principal Paid</t>
  </si>
  <si>
    <t>Cash Flow Available for Principal</t>
  </si>
  <si>
    <t>Debt Sculpting: PLCR Basis</t>
  </si>
  <si>
    <t>We assume project life ends at the end of the modelling periods.</t>
  </si>
  <si>
    <t>Discount Rate</t>
  </si>
  <si>
    <t>Project Life Coverage Ratio (PLCR)</t>
  </si>
  <si>
    <t>Target PLCR</t>
  </si>
  <si>
    <t>Debt Sculpting: LLCR Basis</t>
  </si>
  <si>
    <t>Loan Life Coverage Ratio (LLCR)</t>
  </si>
  <si>
    <t>Target LLCR</t>
  </si>
  <si>
    <t>Loan Life</t>
  </si>
  <si>
    <t># Periods</t>
  </si>
  <si>
    <t>Loan Life Flag</t>
  </si>
  <si>
    <t>[1,0]</t>
  </si>
  <si>
    <t>Method Selected</t>
  </si>
  <si>
    <t>DSCR</t>
  </si>
  <si>
    <t>PLCR</t>
  </si>
  <si>
    <t>LLCR</t>
  </si>
  <si>
    <t>Principal</t>
  </si>
  <si>
    <t>Interest</t>
  </si>
  <si>
    <t>Debt Sculpting Example</t>
  </si>
  <si>
    <t>Lookup Data</t>
  </si>
  <si>
    <t>Illustrative debt sculpting examples using DSCR, PLCR and LLCR techniques.</t>
  </si>
  <si>
    <t>Target Debt Balance</t>
  </si>
  <si>
    <t>Tax Paid for CFADS (DSCR)</t>
  </si>
  <si>
    <t>Tax Paid for CFADS (PLCR and LLCR)</t>
  </si>
  <si>
    <t>NPV of CFADS (forward looking)</t>
  </si>
  <si>
    <t>Check:</t>
  </si>
  <si>
    <t>LLCR selected: Loan repaid in time</t>
  </si>
  <si>
    <t>PLCR selected: Loan repaid in time</t>
  </si>
  <si>
    <t>No macros required!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</si>
</sst>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[$-C09]dd\-mmm\-yy;@"/>
    <numFmt numFmtId="168" formatCode=";;;"/>
    <numFmt numFmtId="169" formatCode="_(#,##0_);[Red]\(#,##0\);_(\-_);"/>
    <numFmt numFmtId="170" formatCode="_(&quot;$&quot;#,##0.0_);\(&quot;$&quot;#,##0.0\);_(&quot;-&quot;_)"/>
    <numFmt numFmtId="171" formatCode="_(#,##0.0_);\(#,##0.0\);_(&quot;-&quot;_)"/>
    <numFmt numFmtId="172" formatCode="&quot;Row &quot;###0"/>
    <numFmt numFmtId="173" formatCode="#,##0."/>
    <numFmt numFmtId="174" formatCode="_(#,##0_);\(#,##0\);_(\-_)"/>
    <numFmt numFmtId="175" formatCode="_(#,##0.00_);\(#,##0.00\);_(\-_._0_0_)"/>
    <numFmt numFmtId="176" formatCode="&quot;$&quot;* _(#,##0.00_);&quot;$&quot;* \(#,##0.00\);&quot;$&quot;* _(\-_._0_0_)"/>
    <numFmt numFmtId="177" formatCode="&quot;$&quot;* _(#,##0_);&quot;$&quot;* \(#,##0\);&quot;$&quot;* _(\-_)"/>
    <numFmt numFmtId="178" formatCode="[$-C09]dd\ mmm\ yy;@"/>
    <numFmt numFmtId="179" formatCode="mmm\ yy"/>
    <numFmt numFmtId="180" formatCode="[$-C09]d\ mmm\ yy;@"/>
    <numFmt numFmtId="181" formatCode="_(#,##0.00_);[Red]\(#,##0.00\);_(\-_)"/>
    <numFmt numFmtId="182" formatCode="#,##0.00\x"/>
    <numFmt numFmtId="183" formatCode="#,##0.00\x;;\-"/>
  </numFmts>
  <fonts count="36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9"/>
      <color theme="0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8" tint="-0.499984740745262"/>
      </left>
      <right/>
      <top style="thin">
        <color indexed="64"/>
      </top>
      <bottom/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Protection="0"/>
    <xf numFmtId="0" fontId="26" fillId="0" borderId="0" applyNumberFormat="0" applyFill="0" applyBorder="0">
      <alignment horizontal="left"/>
      <protection locked="0"/>
    </xf>
    <xf numFmtId="0" fontId="14" fillId="0" borderId="0" applyNumberFormat="0" applyFill="0" applyBorder="0" applyProtection="0"/>
    <xf numFmtId="0" fontId="15" fillId="3" borderId="1" applyNumberForma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25" fillId="0" borderId="3" applyNumberFormat="0" applyAlignment="0">
      <alignment horizontal="center"/>
    </xf>
    <xf numFmtId="0" fontId="24" fillId="4" borderId="7" applyNumberFormat="0" applyAlignment="0">
      <protection locked="0"/>
    </xf>
    <xf numFmtId="0" fontId="3" fillId="0" borderId="0" applyNumberFormat="0" applyFill="0" applyBorder="0"/>
    <xf numFmtId="180" fontId="22" fillId="0" borderId="0" applyFill="0" applyBorder="0" applyProtection="0">
      <alignment horizontal="center"/>
    </xf>
    <xf numFmtId="179" fontId="23" fillId="0" borderId="0" applyFill="0" applyBorder="0" applyProtection="0">
      <alignment horizontal="center"/>
    </xf>
    <xf numFmtId="168" fontId="33" fillId="5" borderId="7" applyAlignment="0"/>
    <xf numFmtId="164" fontId="35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7" fillId="6" borderId="8" applyNumberFormat="0" applyAlignment="0"/>
    <xf numFmtId="41" fontId="1" fillId="0" borderId="9" applyNumberFormat="0" applyFont="0" applyFill="0" applyAlignment="0"/>
    <xf numFmtId="169" fontId="1" fillId="0" borderId="10" applyNumberFormat="0" applyFont="0" applyFill="0" applyAlignment="0" applyProtection="0"/>
    <xf numFmtId="0" fontId="6" fillId="0" borderId="0"/>
    <xf numFmtId="0" fontId="31" fillId="0" borderId="11" applyNumberFormat="0" applyFill="0" applyBorder="0"/>
    <xf numFmtId="169" fontId="1" fillId="0" borderId="0" applyFont="0" applyFill="0" applyBorder="0" applyAlignment="0" applyProtection="0"/>
    <xf numFmtId="0" fontId="25" fillId="7" borderId="2" applyNumberFormat="0" applyAlignment="0" applyProtection="0"/>
    <xf numFmtId="0" fontId="34" fillId="0" borderId="0" applyNumberFormat="0" applyFill="0" applyBorder="0" applyAlignment="0" applyProtection="0"/>
    <xf numFmtId="170" fontId="7" fillId="0" borderId="0" applyFill="0" applyBorder="0">
      <alignment horizontal="right" vertical="center"/>
    </xf>
    <xf numFmtId="171" fontId="7" fillId="0" borderId="0" applyFill="0" applyBorder="0">
      <alignment horizontal="right" vertical="center"/>
    </xf>
    <xf numFmtId="172" fontId="28" fillId="7" borderId="7">
      <alignment horizontal="center"/>
    </xf>
    <xf numFmtId="41" fontId="5" fillId="8" borderId="8" applyFont="0" applyAlignment="0"/>
    <xf numFmtId="0" fontId="12" fillId="11" borderId="0" applyNumberFormat="0">
      <alignment horizontal="center"/>
    </xf>
    <xf numFmtId="0" fontId="29" fillId="0" borderId="0" applyNumberFormat="0" applyFill="0" applyBorder="0" applyProtection="0">
      <alignment horizontal="center"/>
    </xf>
    <xf numFmtId="0" fontId="30" fillId="9" borderId="12" applyNumberFormat="0" applyAlignment="0">
      <protection locked="0"/>
    </xf>
    <xf numFmtId="0" fontId="21" fillId="0" borderId="0" applyNumberFormat="0" applyFill="0" applyBorder="0" applyAlignment="0" applyProtection="0"/>
    <xf numFmtId="0" fontId="19" fillId="0" borderId="1" applyNumberFormat="0" applyFill="0" applyAlignment="0" applyProtection="0"/>
    <xf numFmtId="0" fontId="20" fillId="0" borderId="13" applyNumberFormat="0" applyFill="0" applyAlignment="0" applyProtection="0"/>
    <xf numFmtId="0" fontId="18" fillId="0" borderId="14" applyNumberFormat="0" applyFill="0" applyAlignment="0" applyProtection="0"/>
    <xf numFmtId="0" fontId="17" fillId="0" borderId="15" applyNumberFormat="0" applyFill="0" applyAlignment="0" applyProtection="0"/>
    <xf numFmtId="173" fontId="15" fillId="3" borderId="1"/>
  </cellStyleXfs>
  <cellXfs count="117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5" fillId="3" borderId="1" xfId="10"/>
    <xf numFmtId="0" fontId="16" fillId="0" borderId="0" xfId="11" applyBorder="1"/>
    <xf numFmtId="0" fontId="17" fillId="0" borderId="0" xfId="12"/>
    <xf numFmtId="0" fontId="25" fillId="0" borderId="3" xfId="13" applyAlignment="1">
      <alignment horizontal="center"/>
    </xf>
    <xf numFmtId="166" fontId="25" fillId="0" borderId="3" xfId="13" applyNumberFormat="1" applyAlignment="1">
      <alignment horizontal="center"/>
    </xf>
    <xf numFmtId="0" fontId="8" fillId="0" borderId="0" xfId="0" applyFont="1"/>
    <xf numFmtId="0" fontId="9" fillId="0" borderId="0" xfId="12" applyFont="1" applyAlignment="1">
      <alignment horizontal="left" vertical="center"/>
    </xf>
    <xf numFmtId="0" fontId="10" fillId="0" borderId="0" xfId="0" applyFont="1"/>
    <xf numFmtId="0" fontId="10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26" fillId="0" borderId="0" xfId="8" applyAlignment="1">
      <alignment horizontal="right"/>
      <protection locked="0"/>
    </xf>
    <xf numFmtId="0" fontId="12" fillId="11" borderId="0" xfId="33">
      <alignment horizontal="center"/>
    </xf>
    <xf numFmtId="0" fontId="0" fillId="0" borderId="0" xfId="0" applyBorder="1"/>
    <xf numFmtId="0" fontId="13" fillId="0" borderId="0" xfId="7" applyBorder="1"/>
    <xf numFmtId="0" fontId="0" fillId="0" borderId="0" xfId="0" applyFont="1" applyBorder="1"/>
    <xf numFmtId="0" fontId="11" fillId="0" borderId="0" xfId="0" applyFont="1" applyBorder="1" applyAlignment="1">
      <alignment horizontal="left"/>
    </xf>
    <xf numFmtId="0" fontId="14" fillId="0" borderId="0" xfId="9" applyBorder="1"/>
    <xf numFmtId="0" fontId="0" fillId="0" borderId="0" xfId="0" applyBorder="1" applyAlignment="1">
      <alignment horizontal="left"/>
    </xf>
    <xf numFmtId="0" fontId="17" fillId="0" borderId="0" xfId="12" applyBorder="1"/>
    <xf numFmtId="0" fontId="18" fillId="0" borderId="0" xfId="6" applyBorder="1"/>
    <xf numFmtId="0" fontId="31" fillId="0" borderId="0" xfId="25" applyBorder="1"/>
    <xf numFmtId="0" fontId="12" fillId="11" borderId="0" xfId="33" applyBorder="1">
      <alignment horizontal="center"/>
    </xf>
    <xf numFmtId="0" fontId="24" fillId="4" borderId="7" xfId="14">
      <protection locked="0"/>
    </xf>
    <xf numFmtId="0" fontId="11" fillId="0" borderId="0" xfId="0" applyFont="1" applyBorder="1"/>
    <xf numFmtId="0" fontId="25" fillId="0" borderId="3" xfId="13" applyAlignment="1"/>
    <xf numFmtId="168" fontId="33" fillId="5" borderId="7" xfId="18"/>
    <xf numFmtId="164" fontId="35" fillId="2" borderId="2" xfId="19">
      <alignment horizontal="center"/>
      <protection locked="0"/>
    </xf>
    <xf numFmtId="0" fontId="27" fillId="6" borderId="8" xfId="21" applyNumberFormat="1"/>
    <xf numFmtId="0" fontId="0" fillId="0" borderId="9" xfId="22" applyNumberFormat="1" applyFont="1"/>
    <xf numFmtId="0" fontId="0" fillId="0" borderId="10" xfId="23" applyNumberFormat="1" applyFont="1"/>
    <xf numFmtId="0" fontId="25" fillId="7" borderId="2" xfId="27"/>
    <xf numFmtId="0" fontId="34" fillId="0" borderId="0" xfId="28"/>
    <xf numFmtId="172" fontId="28" fillId="7" borderId="7" xfId="31">
      <alignment horizontal="center"/>
    </xf>
    <xf numFmtId="41" fontId="0" fillId="8" borderId="8" xfId="32" applyFont="1"/>
    <xf numFmtId="0" fontId="29" fillId="0" borderId="0" xfId="34">
      <alignment horizontal="center"/>
    </xf>
    <xf numFmtId="0" fontId="30" fillId="9" borderId="12" xfId="35">
      <protection locked="0"/>
    </xf>
    <xf numFmtId="41" fontId="0" fillId="0" borderId="0" xfId="2" applyFont="1"/>
    <xf numFmtId="169" fontId="0" fillId="0" borderId="0" xfId="26" applyFont="1"/>
    <xf numFmtId="9" fontId="0" fillId="0" borderId="0" xfId="5" applyFont="1"/>
    <xf numFmtId="0" fontId="0" fillId="0" borderId="0" xfId="0"/>
    <xf numFmtId="180" fontId="22" fillId="0" borderId="0" xfId="16">
      <alignment horizontal="center"/>
    </xf>
    <xf numFmtId="179" fontId="23" fillId="0" borderId="0" xfId="17">
      <alignment horizontal="center"/>
    </xf>
    <xf numFmtId="0" fontId="3" fillId="0" borderId="0" xfId="15"/>
    <xf numFmtId="164" fontId="15" fillId="3" borderId="1" xfId="10" applyNumberFormat="1" applyProtection="1">
      <protection locked="0"/>
    </xf>
    <xf numFmtId="165" fontId="15" fillId="3" borderId="1" xfId="10" applyNumberFormat="1"/>
    <xf numFmtId="0" fontId="0" fillId="0" borderId="0" xfId="0" applyBorder="1"/>
    <xf numFmtId="0" fontId="26" fillId="0" borderId="0" xfId="8">
      <alignment horizontal="left"/>
      <protection locked="0"/>
    </xf>
    <xf numFmtId="0" fontId="13" fillId="0" borderId="0" xfId="7"/>
    <xf numFmtId="0" fontId="14" fillId="0" borderId="0" xfId="9"/>
    <xf numFmtId="173" fontId="15" fillId="3" borderId="1" xfId="41"/>
    <xf numFmtId="41" fontId="24" fillId="4" borderId="7" xfId="14" applyNumberFormat="1">
      <protection locked="0"/>
    </xf>
    <xf numFmtId="174" fontId="0" fillId="0" borderId="0" xfId="2" applyNumberFormat="1" applyFont="1"/>
    <xf numFmtId="175" fontId="0" fillId="0" borderId="0" xfId="1" applyNumberFormat="1" applyFont="1"/>
    <xf numFmtId="176" fontId="0" fillId="0" borderId="0" xfId="3" applyNumberFormat="1" applyFont="1"/>
    <xf numFmtId="177" fontId="0" fillId="0" borderId="0" xfId="4" applyNumberFormat="1" applyFont="1"/>
    <xf numFmtId="178" fontId="22" fillId="0" borderId="0" xfId="16" applyNumberFormat="1" applyBorder="1">
      <alignment horizontal="center"/>
    </xf>
    <xf numFmtId="179" fontId="23" fillId="0" borderId="0" xfId="17" applyNumberFormat="1" applyBorder="1">
      <alignment horizontal="center"/>
    </xf>
    <xf numFmtId="167" fontId="0" fillId="0" borderId="0" xfId="0" applyNumberFormat="1"/>
    <xf numFmtId="178" fontId="25" fillId="0" borderId="3" xfId="13" applyNumberFormat="1">
      <alignment horizontal="center"/>
    </xf>
    <xf numFmtId="41" fontId="25" fillId="0" borderId="3" xfId="2" applyFont="1" applyBorder="1" applyAlignment="1"/>
    <xf numFmtId="0" fontId="12" fillId="11" borderId="0" xfId="33">
      <alignment horizontal="center"/>
    </xf>
    <xf numFmtId="0" fontId="0" fillId="0" borderId="0" xfId="0"/>
    <xf numFmtId="164" fontId="16" fillId="0" borderId="0" xfId="11" applyNumberFormat="1" applyBorder="1"/>
    <xf numFmtId="0" fontId="23" fillId="0" borderId="0" xfId="0" applyFont="1"/>
    <xf numFmtId="181" fontId="24" fillId="4" borderId="7" xfId="26" applyNumberFormat="1" applyFont="1" applyFill="1" applyBorder="1" applyProtection="1">
      <protection locked="0"/>
    </xf>
    <xf numFmtId="181" fontId="0" fillId="0" borderId="0" xfId="26" applyNumberFormat="1" applyFont="1"/>
    <xf numFmtId="181" fontId="0" fillId="0" borderId="0" xfId="0" applyNumberFormat="1"/>
    <xf numFmtId="181" fontId="23" fillId="0" borderId="10" xfId="26" applyNumberFormat="1" applyFont="1" applyBorder="1"/>
    <xf numFmtId="181" fontId="33" fillId="5" borderId="7" xfId="18" applyNumberFormat="1"/>
    <xf numFmtId="181" fontId="23" fillId="0" borderId="16" xfId="26" applyNumberFormat="1" applyFont="1" applyBorder="1"/>
    <xf numFmtId="181" fontId="27" fillId="6" borderId="8" xfId="21" applyNumberFormat="1"/>
    <xf numFmtId="9" fontId="24" fillId="4" borderId="7" xfId="5" applyFont="1" applyFill="1" applyBorder="1" applyProtection="1">
      <protection locked="0"/>
    </xf>
    <xf numFmtId="181" fontId="0" fillId="8" borderId="8" xfId="26" applyNumberFormat="1" applyFont="1" applyFill="1" applyBorder="1"/>
    <xf numFmtId="164" fontId="0" fillId="0" borderId="0" xfId="0" applyNumberFormat="1"/>
    <xf numFmtId="164" fontId="23" fillId="0" borderId="0" xfId="0" applyNumberFormat="1" applyFont="1"/>
    <xf numFmtId="10" fontId="24" fillId="4" borderId="7" xfId="5" applyNumberFormat="1" applyFont="1" applyFill="1" applyBorder="1" applyProtection="1">
      <protection locked="0"/>
    </xf>
    <xf numFmtId="181" fontId="23" fillId="0" borderId="0" xfId="0" applyNumberFormat="1" applyFont="1"/>
    <xf numFmtId="181" fontId="23" fillId="0" borderId="10" xfId="0" applyNumberFormat="1" applyFont="1" applyBorder="1"/>
    <xf numFmtId="10" fontId="0" fillId="0" borderId="0" xfId="0" applyNumberFormat="1"/>
    <xf numFmtId="181" fontId="23" fillId="0" borderId="9" xfId="22" applyNumberFormat="1" applyFont="1"/>
    <xf numFmtId="181" fontId="32" fillId="6" borderId="8" xfId="21" applyNumberFormat="1" applyFont="1"/>
    <xf numFmtId="181" fontId="23" fillId="0" borderId="16" xfId="0" applyNumberFormat="1" applyFont="1" applyBorder="1"/>
    <xf numFmtId="10" fontId="27" fillId="6" borderId="8" xfId="21" applyNumberFormat="1"/>
    <xf numFmtId="181" fontId="23" fillId="0" borderId="17" xfId="0" applyNumberFormat="1" applyFont="1" applyBorder="1"/>
    <xf numFmtId="0" fontId="24" fillId="4" borderId="7" xfId="14" applyAlignment="1">
      <alignment horizontal="center"/>
      <protection locked="0"/>
    </xf>
    <xf numFmtId="182" fontId="24" fillId="4" borderId="7" xfId="26" applyNumberFormat="1" applyFont="1" applyFill="1" applyBorder="1" applyAlignment="1" applyProtection="1">
      <alignment horizontal="center"/>
      <protection locked="0"/>
    </xf>
    <xf numFmtId="182" fontId="27" fillId="6" borderId="8" xfId="21" applyNumberFormat="1" applyAlignment="1">
      <alignment horizontal="center"/>
    </xf>
    <xf numFmtId="0" fontId="0" fillId="0" borderId="0" xfId="0"/>
    <xf numFmtId="10" fontId="27" fillId="6" borderId="8" xfId="21" applyNumberFormat="1" applyAlignment="1">
      <alignment horizontal="center"/>
    </xf>
    <xf numFmtId="0" fontId="29" fillId="0" borderId="0" xfId="34" quotePrefix="1">
      <alignment horizontal="center"/>
    </xf>
    <xf numFmtId="169" fontId="24" fillId="4" borderId="7" xfId="26" applyFont="1" applyFill="1" applyBorder="1" applyAlignment="1" applyProtection="1">
      <alignment horizontal="center"/>
      <protection locked="0"/>
    </xf>
    <xf numFmtId="168" fontId="0" fillId="10" borderId="2" xfId="0" applyNumberFormat="1" applyFill="1" applyBorder="1"/>
    <xf numFmtId="183" fontId="27" fillId="6" borderId="8" xfId="21" applyNumberFormat="1" applyAlignment="1">
      <alignment horizontal="center"/>
    </xf>
    <xf numFmtId="0" fontId="0" fillId="0" borderId="0" xfId="0"/>
    <xf numFmtId="0" fontId="0" fillId="0" borderId="0" xfId="0"/>
    <xf numFmtId="10" fontId="0" fillId="0" borderId="0" xfId="5" applyNumberFormat="1" applyFont="1"/>
    <xf numFmtId="0" fontId="0" fillId="0" borderId="0" xfId="0"/>
    <xf numFmtId="0" fontId="0" fillId="0" borderId="0" xfId="0"/>
    <xf numFmtId="164" fontId="35" fillId="10" borderId="2" xfId="0" applyNumberFormat="1" applyFont="1" applyFill="1" applyBorder="1" applyAlignment="1" applyProtection="1">
      <alignment horizontal="center"/>
      <protection locked="0"/>
    </xf>
    <xf numFmtId="164" fontId="35" fillId="1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6" fillId="0" borderId="0" xfId="8">
      <alignment horizontal="left"/>
      <protection locked="0"/>
    </xf>
    <xf numFmtId="10" fontId="23" fillId="0" borderId="9" xfId="22" applyNumberFormat="1" applyFont="1"/>
    <xf numFmtId="0" fontId="10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0" fillId="0" borderId="0" xfId="0"/>
    <xf numFmtId="0" fontId="0" fillId="0" borderId="0" xfId="0" applyBorder="1"/>
    <xf numFmtId="0" fontId="12" fillId="11" borderId="0" xfId="33">
      <alignment horizontal="center"/>
    </xf>
    <xf numFmtId="0" fontId="12" fillId="11" borderId="0" xfId="33" applyBorder="1">
      <alignment horizontal="center"/>
    </xf>
    <xf numFmtId="0" fontId="25" fillId="0" borderId="4" xfId="13" applyBorder="1" applyAlignment="1">
      <alignment horizontal="left"/>
    </xf>
    <xf numFmtId="0" fontId="25" fillId="0" borderId="5" xfId="13" applyBorder="1" applyAlignment="1">
      <alignment horizontal="left"/>
    </xf>
    <xf numFmtId="0" fontId="25" fillId="0" borderId="6" xfId="13" applyBorder="1" applyAlignment="1">
      <alignment horizontal="left"/>
    </xf>
    <xf numFmtId="0" fontId="24" fillId="4" borderId="7" xfId="14" applyAlignment="1">
      <alignment horizontal="left"/>
      <protection locked="0"/>
    </xf>
    <xf numFmtId="179" fontId="23" fillId="0" borderId="0" xfId="17" applyAlignment="1">
      <alignment horizontal="left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23">
    <dxf>
      <numFmt numFmtId="167" formatCode="[$-C09]dd\-mmm\-yy;@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3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3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3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3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hangeLog" displayName="ChangeLog" ref="F10:K13" totalsRowShown="0" headerRowCellStyle="Table_Heading">
  <autoFilter ref="F10:K13" xr:uid="{00000000-0009-0000-0100-000001000000}"/>
  <tableColumns count="6">
    <tableColumn id="1" xr3:uid="{00000000-0010-0000-0000-000001000000}" name="Date" dataCellStyle="Date"/>
    <tableColumn id="2" xr3:uid="{00000000-0010-0000-0000-000002000000}" name="Model Version "/>
    <tableColumn id="3" xr3:uid="{00000000-0010-0000-0000-000003000000}" name="Details of change"/>
    <tableColumn id="4" xr3:uid="{00000000-0010-0000-0000-000004000000}" name="Worksheet Reference"/>
    <tableColumn id="5" xr3:uid="{00000000-0010-0000-0000-000005000000}" name="Row, column, cell reference" dataDxfId="0"/>
    <tableColumn id="6" xr3:uid="{00000000-0010-0000-0000-000006000000}" name="Auth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3" spans="1:19" x14ac:dyDescent="0.2">
      <c r="A3" s="104" t="s">
        <v>1</v>
      </c>
    </row>
    <row r="5" spans="1:19" ht="20.25" x14ac:dyDescent="0.3">
      <c r="C5" s="50" t="str">
        <f>Client_Name</f>
        <v>SumProduct Pty Ltd</v>
      </c>
      <c r="D5" s="8"/>
      <c r="E5" s="8"/>
      <c r="F5" s="8"/>
      <c r="G5" s="8"/>
      <c r="H5" s="8"/>
      <c r="I5" s="8"/>
      <c r="J5" s="8"/>
    </row>
    <row r="6" spans="1:19" ht="18" x14ac:dyDescent="0.25">
      <c r="C6" s="51" t="str">
        <f ca="1">Model_Name</f>
        <v>Chapter 6.1 - SP Debt Sculpting Example.xlsx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45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19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20</v>
      </c>
      <c r="D16" s="10"/>
      <c r="E16" s="8"/>
      <c r="F16" s="8"/>
      <c r="G16" s="8"/>
      <c r="H16" s="8"/>
      <c r="I16" s="8"/>
      <c r="J16" s="8"/>
    </row>
    <row r="17" spans="3:10" ht="12.75" x14ac:dyDescent="0.2">
      <c r="C17" s="106" t="s">
        <v>170</v>
      </c>
      <c r="D17" s="106"/>
      <c r="E17" s="106"/>
      <c r="F17" s="106"/>
      <c r="G17" s="106"/>
      <c r="H17" s="106"/>
      <c r="I17" s="106"/>
      <c r="J17" s="106"/>
    </row>
    <row r="18" spans="3:10" ht="12.75" x14ac:dyDescent="0.2">
      <c r="C18" s="106" t="s">
        <v>178</v>
      </c>
      <c r="D18" s="106"/>
      <c r="E18" s="106"/>
      <c r="F18" s="106"/>
      <c r="G18" s="106"/>
      <c r="H18" s="106"/>
      <c r="I18" s="106"/>
      <c r="J18" s="106"/>
    </row>
    <row r="19" spans="3:10" ht="12.75" x14ac:dyDescent="0.2">
      <c r="C19" s="11"/>
      <c r="D19" s="10"/>
      <c r="E19" s="8"/>
      <c r="F19" s="8"/>
      <c r="G19" s="8"/>
      <c r="H19" s="8"/>
      <c r="I19" s="8"/>
      <c r="J19" s="8"/>
    </row>
    <row r="20" spans="3:10" ht="12.75" x14ac:dyDescent="0.2">
      <c r="C20" s="11"/>
      <c r="D20" s="10"/>
      <c r="E20" s="8"/>
      <c r="F20" s="8"/>
      <c r="G20" s="8"/>
      <c r="H20" s="8"/>
      <c r="I20" s="8"/>
      <c r="J20" s="8"/>
    </row>
    <row r="21" spans="3:10" ht="12.75" x14ac:dyDescent="0.2">
      <c r="C21" s="11" t="s">
        <v>21</v>
      </c>
      <c r="D21" s="10"/>
      <c r="E21" s="8"/>
      <c r="F21" s="8"/>
      <c r="G21" s="107" t="s">
        <v>22</v>
      </c>
      <c r="H21" s="107"/>
      <c r="I21" s="107"/>
      <c r="J21" s="8"/>
    </row>
    <row r="22" spans="3:10" ht="12.75" x14ac:dyDescent="0.2">
      <c r="C22" s="11" t="s">
        <v>23</v>
      </c>
      <c r="D22" s="10"/>
      <c r="E22" s="8"/>
      <c r="F22" s="8"/>
      <c r="G22" s="107" t="s">
        <v>24</v>
      </c>
      <c r="H22" s="107"/>
      <c r="I22" s="107"/>
      <c r="J22" s="8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24" ht="20.25" x14ac:dyDescent="0.3">
      <c r="A1" s="50" t="s">
        <v>1</v>
      </c>
      <c r="F1" s="13"/>
      <c r="G1" s="13"/>
    </row>
    <row r="2" spans="1:24" ht="18" x14ac:dyDescent="0.25">
      <c r="A2" s="51" t="str">
        <f ca="1">Model_Name</f>
        <v>Chapter 6.1 - SP Debt Sculpting Example.xlsx</v>
      </c>
    </row>
    <row r="3" spans="1:24" x14ac:dyDescent="0.2">
      <c r="A3" s="12" t="s">
        <v>1</v>
      </c>
      <c r="B3" s="12"/>
      <c r="C3" s="12"/>
      <c r="D3" s="12"/>
      <c r="E3" s="12"/>
    </row>
    <row r="4" spans="1:24" x14ac:dyDescent="0.2">
      <c r="E4" t="s">
        <v>2</v>
      </c>
      <c r="G4" s="29">
        <f ca="1">Overall_Error_Check</f>
        <v>0</v>
      </c>
    </row>
    <row r="7" spans="1:24" ht="16.5" thickBot="1" x14ac:dyDescent="0.3">
      <c r="B7" s="52">
        <v>1</v>
      </c>
      <c r="C7" s="52" t="s">
        <v>25</v>
      </c>
      <c r="D7" s="52"/>
      <c r="E7" s="52"/>
      <c r="F7" s="52"/>
      <c r="G7" s="52"/>
      <c r="H7" s="52"/>
      <c r="I7" s="52"/>
      <c r="J7" s="52"/>
      <c r="K7" s="52"/>
      <c r="L7" s="5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thickTop="1" x14ac:dyDescent="0.2"/>
    <row r="9" spans="1:24" x14ac:dyDescent="0.2">
      <c r="F9" s="104" t="s">
        <v>26</v>
      </c>
    </row>
    <row r="10" spans="1:24" x14ac:dyDescent="0.2">
      <c r="F10" s="104" t="s">
        <v>27</v>
      </c>
    </row>
    <row r="11" spans="1:24" x14ac:dyDescent="0.2">
      <c r="F11" s="104" t="s">
        <v>0</v>
      </c>
    </row>
    <row r="12" spans="1:24" x14ac:dyDescent="0.2">
      <c r="F12" s="104" t="s">
        <v>168</v>
      </c>
    </row>
    <row r="13" spans="1:24" x14ac:dyDescent="0.2">
      <c r="F13" s="104" t="s">
        <v>169</v>
      </c>
    </row>
    <row r="14" spans="1:24" x14ac:dyDescent="0.2">
      <c r="F14" s="104" t="s">
        <v>70</v>
      </c>
    </row>
    <row r="15" spans="1:24" x14ac:dyDescent="0.2">
      <c r="F15" s="104" t="s">
        <v>66</v>
      </c>
    </row>
    <row r="16" spans="1:24" x14ac:dyDescent="0.2">
      <c r="F16" s="104" t="s">
        <v>82</v>
      </c>
    </row>
  </sheetData>
  <hyperlinks>
    <hyperlink ref="A3:E3" location="HL_Navigator" tooltip="Go to Navigator (Table of Contents)" display="Navigator" xr:uid="{00000000-0004-0000-0100-000000000000}"/>
    <hyperlink ref="F9" location="HL_1" display="Cover" xr:uid="{00000000-0004-0000-0100-000001000000}"/>
    <hyperlink ref="F10" location="HL_3" display="Style Guide" xr:uid="{00000000-0004-0000-0100-000002000000}"/>
    <hyperlink ref="F11" location="HL_4" display="Model Parameters" xr:uid="{00000000-0004-0000-0100-000003000000}"/>
    <hyperlink ref="F12" location="HL_5" display="Debt Sculpting Example" xr:uid="{00000000-0004-0000-0100-000004000000}"/>
    <hyperlink ref="F13" location="HL_6" display="Lookup Data" xr:uid="{00000000-0004-0000-0100-000005000000}"/>
    <hyperlink ref="F14" location="HL_7" display="Timing" xr:uid="{00000000-0004-0000-0100-000006000000}"/>
    <hyperlink ref="F15" location="HL_8" display="Error Checks" xr:uid="{00000000-0004-0000-0100-000007000000}"/>
    <hyperlink ref="F16" location="HL_9" display="Change Log" xr:uid="{00000000-0004-0000-0100-000008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51" t="str">
        <f ca="1">Model_Name</f>
        <v>Chapter 6.1 - SP Debt Sculpting Example.xlsx</v>
      </c>
    </row>
    <row r="3" spans="1:13" x14ac:dyDescent="0.2">
      <c r="A3" s="107" t="s">
        <v>1</v>
      </c>
      <c r="B3" s="107"/>
      <c r="C3" s="107"/>
      <c r="D3" s="107"/>
      <c r="E3" s="107"/>
    </row>
    <row r="4" spans="1:13" ht="14.25" x14ac:dyDescent="0.2">
      <c r="E4" t="s">
        <v>2</v>
      </c>
      <c r="I4" s="1">
        <f ca="1">Overall_Error_Check</f>
        <v>0</v>
      </c>
    </row>
    <row r="6" spans="1:13" ht="16.5" thickBot="1" x14ac:dyDescent="0.3">
      <c r="B6" s="52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110" t="s">
        <v>29</v>
      </c>
      <c r="D8" s="110"/>
      <c r="E8" s="110"/>
      <c r="F8" s="110"/>
      <c r="G8" s="110"/>
      <c r="H8" s="14"/>
      <c r="I8" s="14" t="s">
        <v>30</v>
      </c>
      <c r="J8" s="14"/>
      <c r="K8" s="14" t="s">
        <v>31</v>
      </c>
    </row>
    <row r="9" spans="1:13" outlineLevel="1" x14ac:dyDescent="0.2">
      <c r="C9" s="109"/>
      <c r="D9" s="109"/>
      <c r="E9" s="109"/>
      <c r="F9" s="109"/>
      <c r="G9" s="109"/>
      <c r="H9" s="48"/>
      <c r="I9" s="48"/>
      <c r="J9" s="17"/>
      <c r="K9" s="20"/>
    </row>
    <row r="10" spans="1:13" ht="20.25" outlineLevel="1" x14ac:dyDescent="0.3">
      <c r="C10" s="109" t="s">
        <v>32</v>
      </c>
      <c r="D10" s="109"/>
      <c r="E10" s="109"/>
      <c r="F10" s="109"/>
      <c r="G10" s="109"/>
      <c r="H10" s="15"/>
      <c r="I10" s="16" t="str">
        <f>C10</f>
        <v>Sheet Title</v>
      </c>
      <c r="J10" s="17"/>
      <c r="K10" s="18" t="s">
        <v>32</v>
      </c>
    </row>
    <row r="11" spans="1:13" ht="18" outlineLevel="1" x14ac:dyDescent="0.25">
      <c r="C11" s="109" t="s">
        <v>5</v>
      </c>
      <c r="D11" s="109"/>
      <c r="E11" s="109"/>
      <c r="F11" s="109"/>
      <c r="G11" s="109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">
      <c r="C12" s="109"/>
      <c r="D12" s="109"/>
      <c r="E12" s="109"/>
      <c r="F12" s="109"/>
      <c r="G12" s="109"/>
      <c r="H12" s="15"/>
      <c r="I12" s="15"/>
      <c r="J12" s="17"/>
      <c r="K12" s="20"/>
    </row>
    <row r="13" spans="1:13" ht="16.5" outlineLevel="1" thickBot="1" x14ac:dyDescent="0.3">
      <c r="C13" s="109" t="s">
        <v>33</v>
      </c>
      <c r="D13" s="109"/>
      <c r="E13" s="109"/>
      <c r="F13" s="109"/>
      <c r="G13" s="109"/>
      <c r="H13" s="15"/>
      <c r="I13" s="47" t="str">
        <f>C13</f>
        <v>Header 1</v>
      </c>
      <c r="J13" s="17"/>
      <c r="K13" s="18" t="s">
        <v>33</v>
      </c>
    </row>
    <row r="14" spans="1:13" ht="17.25" outlineLevel="1" thickTop="1" x14ac:dyDescent="0.25">
      <c r="C14" s="109" t="s">
        <v>34</v>
      </c>
      <c r="D14" s="109"/>
      <c r="E14" s="109"/>
      <c r="F14" s="109"/>
      <c r="G14" s="109"/>
      <c r="H14" s="15"/>
      <c r="I14" s="4" t="str">
        <f>C14</f>
        <v>Header 2</v>
      </c>
      <c r="J14" s="17"/>
      <c r="K14" s="18" t="s">
        <v>34</v>
      </c>
    </row>
    <row r="15" spans="1:13" ht="15" outlineLevel="1" x14ac:dyDescent="0.25">
      <c r="C15" s="109" t="s">
        <v>35</v>
      </c>
      <c r="D15" s="109"/>
      <c r="E15" s="109"/>
      <c r="F15" s="109"/>
      <c r="G15" s="109"/>
      <c r="H15" s="15"/>
      <c r="I15" s="21" t="str">
        <f>C15</f>
        <v>Header 3</v>
      </c>
      <c r="J15" s="17"/>
      <c r="K15" s="18" t="s">
        <v>35</v>
      </c>
    </row>
    <row r="16" spans="1:13" ht="15" outlineLevel="1" x14ac:dyDescent="0.25">
      <c r="C16" s="109" t="s">
        <v>36</v>
      </c>
      <c r="D16" s="109"/>
      <c r="E16" s="109"/>
      <c r="F16" s="109"/>
      <c r="G16" s="109"/>
      <c r="H16" s="15"/>
      <c r="I16" s="22" t="str">
        <f>C16</f>
        <v>Header 4</v>
      </c>
      <c r="J16" s="17"/>
      <c r="K16" s="18" t="s">
        <v>36</v>
      </c>
    </row>
    <row r="17" spans="2:14" outlineLevel="1" x14ac:dyDescent="0.2">
      <c r="C17" s="109"/>
      <c r="D17" s="109"/>
      <c r="E17" s="109"/>
      <c r="F17" s="109"/>
      <c r="G17" s="109"/>
      <c r="H17" s="15"/>
      <c r="I17" s="15"/>
      <c r="J17" s="17"/>
      <c r="K17" s="20"/>
    </row>
    <row r="18" spans="2:14" ht="15" outlineLevel="1" x14ac:dyDescent="0.25">
      <c r="C18" s="109" t="s">
        <v>37</v>
      </c>
      <c r="D18" s="109"/>
      <c r="E18" s="109"/>
      <c r="F18" s="109"/>
      <c r="G18" s="109"/>
      <c r="H18" s="15"/>
      <c r="I18" s="23" t="str">
        <f>C18</f>
        <v>Notes</v>
      </c>
      <c r="J18" s="17"/>
      <c r="K18" s="18" t="s">
        <v>37</v>
      </c>
    </row>
    <row r="19" spans="2:14" outlineLevel="1" x14ac:dyDescent="0.2">
      <c r="C19" s="109"/>
      <c r="D19" s="109"/>
      <c r="E19" s="109"/>
      <c r="F19" s="109"/>
      <c r="G19" s="109"/>
      <c r="H19" s="15"/>
      <c r="I19" s="15"/>
      <c r="J19" s="17"/>
      <c r="K19" s="20"/>
      <c r="N19" s="23"/>
    </row>
    <row r="20" spans="2:14" ht="15" outlineLevel="1" x14ac:dyDescent="0.25">
      <c r="C20" s="109" t="s">
        <v>38</v>
      </c>
      <c r="D20" s="109"/>
      <c r="E20" s="109"/>
      <c r="F20" s="109"/>
      <c r="G20" s="109"/>
      <c r="H20" s="15"/>
      <c r="I20" s="24" t="str">
        <f>C20</f>
        <v>Table Heading</v>
      </c>
      <c r="J20" s="17"/>
      <c r="K20" s="18" t="s">
        <v>38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52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111" t="s">
        <v>29</v>
      </c>
      <c r="D25" s="111"/>
      <c r="E25" s="111"/>
      <c r="F25" s="111"/>
      <c r="G25" s="111"/>
      <c r="H25" s="24"/>
      <c r="I25" s="24" t="s">
        <v>30</v>
      </c>
      <c r="J25" s="24"/>
      <c r="K25" s="24" t="s">
        <v>31</v>
      </c>
    </row>
    <row r="26" spans="2:14" ht="15" outlineLevel="1" x14ac:dyDescent="0.25">
      <c r="C26" s="109"/>
      <c r="D26" s="109"/>
      <c r="E26" s="109"/>
      <c r="F26" s="109"/>
      <c r="G26" s="109"/>
      <c r="H26" s="48"/>
      <c r="I26" s="48"/>
      <c r="J26" s="17"/>
      <c r="K26" s="18"/>
    </row>
    <row r="27" spans="2:14" ht="15" outlineLevel="1" x14ac:dyDescent="0.25">
      <c r="C27" s="109" t="s">
        <v>40</v>
      </c>
      <c r="D27" s="109"/>
      <c r="E27" s="109"/>
      <c r="F27" s="109"/>
      <c r="G27" s="109"/>
      <c r="H27" s="15"/>
      <c r="I27" s="25" t="s">
        <v>40</v>
      </c>
      <c r="J27" s="15"/>
      <c r="K27" s="26" t="str">
        <f>C27</f>
        <v>Assumption</v>
      </c>
    </row>
    <row r="28" spans="2:14" ht="15" outlineLevel="1" x14ac:dyDescent="0.25">
      <c r="C28" s="109"/>
      <c r="D28" s="109"/>
      <c r="E28" s="109"/>
      <c r="F28" s="109"/>
      <c r="G28" s="109"/>
      <c r="H28" s="15"/>
      <c r="I28" s="15"/>
      <c r="J28" s="15"/>
      <c r="K28" s="26"/>
    </row>
    <row r="29" spans="2:14" ht="15" outlineLevel="1" x14ac:dyDescent="0.25">
      <c r="C29" s="109" t="s">
        <v>41</v>
      </c>
      <c r="D29" s="109"/>
      <c r="E29" s="109"/>
      <c r="F29" s="109"/>
      <c r="G29" s="109"/>
      <c r="H29" s="15"/>
      <c r="I29" s="27" t="str">
        <f>C29</f>
        <v>Constraint</v>
      </c>
      <c r="J29" s="15"/>
      <c r="K29" s="26" t="str">
        <f>C29</f>
        <v>Constraint</v>
      </c>
    </row>
    <row r="30" spans="2:14" ht="15" outlineLevel="1" x14ac:dyDescent="0.25">
      <c r="C30" s="109"/>
      <c r="D30" s="109"/>
      <c r="E30" s="109"/>
      <c r="F30" s="109"/>
      <c r="G30" s="109"/>
      <c r="H30" s="15"/>
      <c r="I30" s="15"/>
      <c r="J30" s="15"/>
      <c r="K30" s="26"/>
    </row>
    <row r="31" spans="2:14" ht="15" outlineLevel="1" x14ac:dyDescent="0.25">
      <c r="C31" s="108" t="s">
        <v>42</v>
      </c>
      <c r="D31" s="108"/>
      <c r="E31" s="108"/>
      <c r="F31" s="108"/>
      <c r="G31" s="108"/>
      <c r="I31" s="28"/>
      <c r="K31" s="26" t="str">
        <f>C31</f>
        <v>Empty</v>
      </c>
    </row>
    <row r="32" spans="2:14" ht="15" outlineLevel="1" x14ac:dyDescent="0.25">
      <c r="C32" s="108"/>
      <c r="D32" s="108"/>
      <c r="E32" s="108"/>
      <c r="F32" s="108"/>
      <c r="G32" s="108"/>
      <c r="K32" s="26"/>
    </row>
    <row r="33" spans="3:11" ht="15" outlineLevel="1" x14ac:dyDescent="0.25">
      <c r="C33" t="s">
        <v>43</v>
      </c>
      <c r="I33" s="29">
        <v>0</v>
      </c>
      <c r="K33" s="26" t="str">
        <f>C33</f>
        <v>Error Check</v>
      </c>
    </row>
    <row r="34" spans="3:11" ht="15" outlineLevel="1" x14ac:dyDescent="0.25">
      <c r="K34" s="26"/>
    </row>
    <row r="35" spans="3:11" ht="15" outlineLevel="1" x14ac:dyDescent="0.25">
      <c r="C35" s="108" t="s">
        <v>44</v>
      </c>
      <c r="D35" s="108"/>
      <c r="E35" s="108"/>
      <c r="F35" s="108"/>
      <c r="G35" s="108"/>
      <c r="I35" s="12" t="s">
        <v>44</v>
      </c>
      <c r="K35" s="26" t="str">
        <f>C35</f>
        <v>Hyperlink</v>
      </c>
    </row>
    <row r="36" spans="3:11" ht="15" outlineLevel="1" x14ac:dyDescent="0.25">
      <c r="C36" s="108"/>
      <c r="D36" s="108"/>
      <c r="E36" s="108"/>
      <c r="F36" s="108"/>
      <c r="G36" s="108"/>
      <c r="K36" s="26"/>
    </row>
    <row r="37" spans="3:11" ht="15" outlineLevel="1" x14ac:dyDescent="0.25">
      <c r="C37" s="108" t="s">
        <v>45</v>
      </c>
      <c r="D37" s="108"/>
      <c r="E37" s="108"/>
      <c r="F37" s="108"/>
      <c r="G37" s="108"/>
      <c r="I37" s="30" t="str">
        <f>'Error Checks'!E12</f>
        <v>PLCR selected: Loan repaid in time</v>
      </c>
      <c r="K37" s="26" t="str">
        <f>C37</f>
        <v>Internal Reference</v>
      </c>
    </row>
    <row r="38" spans="3:11" ht="15" outlineLevel="1" x14ac:dyDescent="0.25">
      <c r="C38" s="108"/>
      <c r="D38" s="108"/>
      <c r="E38" s="108"/>
      <c r="F38" s="108"/>
      <c r="G38" s="108"/>
      <c r="K38" s="26"/>
    </row>
    <row r="39" spans="3:11" ht="15" outlineLevel="1" x14ac:dyDescent="0.25">
      <c r="C39" s="108" t="s">
        <v>46</v>
      </c>
      <c r="D39" s="108"/>
      <c r="E39" s="108"/>
      <c r="F39" s="108"/>
      <c r="G39" s="108"/>
      <c r="I39" s="31">
        <v>77</v>
      </c>
      <c r="K39" s="26" t="s">
        <v>47</v>
      </c>
    </row>
    <row r="40" spans="3:11" ht="15" outlineLevel="1" x14ac:dyDescent="0.25">
      <c r="C40" s="108"/>
      <c r="D40" s="108"/>
      <c r="E40" s="108"/>
      <c r="F40" s="108"/>
      <c r="G40" s="108"/>
      <c r="K40" s="26"/>
    </row>
    <row r="41" spans="3:11" ht="15" outlineLevel="1" x14ac:dyDescent="0.25">
      <c r="C41" s="108" t="s">
        <v>48</v>
      </c>
      <c r="D41" s="108"/>
      <c r="E41" s="108"/>
      <c r="F41" s="108"/>
      <c r="G41" s="108"/>
      <c r="I41" s="32">
        <f>I39</f>
        <v>77</v>
      </c>
      <c r="K41" s="26" t="str">
        <f>C41</f>
        <v>Line Total</v>
      </c>
    </row>
    <row r="42" spans="3:11" ht="15" outlineLevel="1" x14ac:dyDescent="0.25">
      <c r="C42" s="108"/>
      <c r="D42" s="108"/>
      <c r="E42" s="108"/>
      <c r="F42" s="108"/>
      <c r="G42" s="108"/>
      <c r="K42" s="26"/>
    </row>
    <row r="43" spans="3:11" ht="15" outlineLevel="1" x14ac:dyDescent="0.25">
      <c r="C43" s="108" t="s">
        <v>49</v>
      </c>
      <c r="D43" s="108"/>
      <c r="E43" s="108"/>
      <c r="F43" s="108"/>
      <c r="G43" s="108"/>
      <c r="I43" s="33">
        <v>365</v>
      </c>
      <c r="K43" s="26" t="str">
        <f>C43</f>
        <v>Parameter</v>
      </c>
    </row>
    <row r="44" spans="3:11" ht="15" outlineLevel="1" x14ac:dyDescent="0.25">
      <c r="C44" s="108"/>
      <c r="D44" s="108"/>
      <c r="E44" s="108"/>
      <c r="F44" s="108"/>
      <c r="G44" s="108"/>
      <c r="K44" s="26"/>
    </row>
    <row r="45" spans="3:11" ht="15" outlineLevel="1" x14ac:dyDescent="0.25">
      <c r="C45" s="108" t="s">
        <v>50</v>
      </c>
      <c r="D45" s="108"/>
      <c r="E45" s="108"/>
      <c r="F45" s="108"/>
      <c r="G45" s="108"/>
      <c r="I45" s="34" t="s">
        <v>51</v>
      </c>
      <c r="K45" s="26" t="str">
        <f>C45</f>
        <v>Range Name Description</v>
      </c>
    </row>
    <row r="46" spans="3:11" ht="15" outlineLevel="1" x14ac:dyDescent="0.25">
      <c r="C46" s="108"/>
      <c r="D46" s="108"/>
      <c r="E46" s="108"/>
      <c r="F46" s="108"/>
      <c r="G46" s="108"/>
      <c r="K46" s="26"/>
    </row>
    <row r="47" spans="3:11" ht="15" outlineLevel="1" x14ac:dyDescent="0.25">
      <c r="C47" s="108" t="s">
        <v>52</v>
      </c>
      <c r="D47" s="108"/>
      <c r="E47" s="108"/>
      <c r="F47" s="108"/>
      <c r="G47" s="108"/>
      <c r="I47" s="35">
        <f>ROW(C47)</f>
        <v>47</v>
      </c>
      <c r="K47" s="26" t="s">
        <v>53</v>
      </c>
    </row>
    <row r="48" spans="3:11" ht="15" outlineLevel="1" x14ac:dyDescent="0.25">
      <c r="C48" s="108"/>
      <c r="D48" s="108"/>
      <c r="E48" s="108"/>
      <c r="F48" s="108"/>
      <c r="G48" s="108"/>
      <c r="K48" s="26"/>
    </row>
    <row r="49" spans="2:13" ht="15" outlineLevel="1" x14ac:dyDescent="0.25">
      <c r="C49" s="108" t="s">
        <v>54</v>
      </c>
      <c r="D49" s="108"/>
      <c r="E49" s="108"/>
      <c r="F49" s="108"/>
      <c r="G49" s="108"/>
      <c r="I49" s="36">
        <f>I41</f>
        <v>77</v>
      </c>
      <c r="K49" s="26" t="str">
        <f>C49</f>
        <v>Row Summary</v>
      </c>
    </row>
    <row r="50" spans="2:13" ht="15" outlineLevel="1" x14ac:dyDescent="0.25">
      <c r="C50" s="108"/>
      <c r="D50" s="108"/>
      <c r="E50" s="108"/>
      <c r="F50" s="108"/>
      <c r="G50" s="108"/>
      <c r="K50" s="26"/>
    </row>
    <row r="51" spans="2:13" ht="15" outlineLevel="1" x14ac:dyDescent="0.25">
      <c r="C51" s="108" t="s">
        <v>55</v>
      </c>
      <c r="D51" s="108"/>
      <c r="E51" s="108"/>
      <c r="F51" s="108"/>
      <c r="G51" s="108"/>
      <c r="I51" s="37" t="s">
        <v>69</v>
      </c>
      <c r="K51" s="26" t="str">
        <f>C51</f>
        <v>Units</v>
      </c>
    </row>
    <row r="52" spans="2:13" ht="15" outlineLevel="1" x14ac:dyDescent="0.25">
      <c r="C52" s="108"/>
      <c r="D52" s="108"/>
      <c r="E52" s="108"/>
      <c r="F52" s="108"/>
      <c r="G52" s="108"/>
      <c r="K52" s="26"/>
    </row>
    <row r="53" spans="2:13" ht="15" outlineLevel="1" x14ac:dyDescent="0.25">
      <c r="C53" s="108" t="s">
        <v>56</v>
      </c>
      <c r="D53" s="108"/>
      <c r="E53" s="108"/>
      <c r="F53" s="108"/>
      <c r="G53" s="108"/>
      <c r="I53" s="38"/>
      <c r="K53" s="26" t="str">
        <f>C53</f>
        <v>WIP</v>
      </c>
    </row>
    <row r="54" spans="2:13" ht="15" outlineLevel="1" x14ac:dyDescent="0.25">
      <c r="C54" s="108"/>
      <c r="D54" s="108"/>
      <c r="E54" s="108"/>
      <c r="F54" s="108"/>
      <c r="G54" s="108"/>
      <c r="K54" s="26"/>
    </row>
    <row r="55" spans="2:13" outlineLevel="1" x14ac:dyDescent="0.2">
      <c r="C55" s="108"/>
      <c r="D55" s="108"/>
      <c r="E55" s="108"/>
      <c r="F55" s="108"/>
      <c r="G55" s="108"/>
    </row>
    <row r="56" spans="2:13" ht="16.5" thickBot="1" x14ac:dyDescent="0.3">
      <c r="B56" s="52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110" t="s">
        <v>29</v>
      </c>
      <c r="D58" s="110"/>
      <c r="E58" s="110"/>
      <c r="F58" s="110"/>
      <c r="G58" s="110"/>
      <c r="H58" s="14"/>
      <c r="I58" s="14" t="s">
        <v>30</v>
      </c>
      <c r="J58" s="14"/>
      <c r="K58" s="14" t="s">
        <v>31</v>
      </c>
    </row>
    <row r="59" spans="2:13" outlineLevel="1" x14ac:dyDescent="0.2"/>
    <row r="60" spans="2:13" ht="15" outlineLevel="1" x14ac:dyDescent="0.25">
      <c r="C60" s="108" t="s">
        <v>58</v>
      </c>
      <c r="D60" s="108"/>
      <c r="E60" s="108"/>
      <c r="F60" s="108"/>
      <c r="G60" s="108"/>
      <c r="I60" s="55">
        <v>123456.789</v>
      </c>
      <c r="K60" s="26" t="str">
        <f t="shared" ref="K60:K66" si="0">C60</f>
        <v>Comma</v>
      </c>
    </row>
    <row r="61" spans="2:13" ht="15" outlineLevel="1" x14ac:dyDescent="0.25">
      <c r="C61" s="108"/>
      <c r="D61" s="108"/>
      <c r="E61" s="108"/>
      <c r="F61" s="108"/>
      <c r="G61" s="108"/>
      <c r="K61" s="26"/>
    </row>
    <row r="62" spans="2:13" ht="15" outlineLevel="1" x14ac:dyDescent="0.25">
      <c r="C62" s="108" t="s">
        <v>59</v>
      </c>
      <c r="D62" s="108"/>
      <c r="E62" s="108"/>
      <c r="F62" s="108"/>
      <c r="G62" s="108"/>
      <c r="I62" s="54">
        <v>-123456.789</v>
      </c>
      <c r="K62" s="26" t="str">
        <f t="shared" si="0"/>
        <v>Comma [0]</v>
      </c>
    </row>
    <row r="63" spans="2:13" ht="15" outlineLevel="1" x14ac:dyDescent="0.25">
      <c r="C63" s="108"/>
      <c r="D63" s="108"/>
      <c r="E63" s="108"/>
      <c r="F63" s="108"/>
      <c r="G63" s="108"/>
      <c r="K63" s="26"/>
    </row>
    <row r="64" spans="2:13" ht="15" outlineLevel="1" x14ac:dyDescent="0.25">
      <c r="C64" s="108" t="s">
        <v>60</v>
      </c>
      <c r="D64" s="108"/>
      <c r="E64" s="108"/>
      <c r="F64" s="108"/>
      <c r="G64" s="108"/>
      <c r="I64" s="56">
        <v>123456.789</v>
      </c>
      <c r="K64" s="26" t="str">
        <f t="shared" si="0"/>
        <v>Currency</v>
      </c>
    </row>
    <row r="65" spans="3:11" ht="15" outlineLevel="1" x14ac:dyDescent="0.25">
      <c r="C65" s="108"/>
      <c r="D65" s="108"/>
      <c r="E65" s="108"/>
      <c r="F65" s="108"/>
      <c r="G65" s="108"/>
      <c r="K65" s="26"/>
    </row>
    <row r="66" spans="3:11" ht="15" outlineLevel="1" x14ac:dyDescent="0.25">
      <c r="C66" s="108" t="s">
        <v>61</v>
      </c>
      <c r="D66" s="108"/>
      <c r="E66" s="108"/>
      <c r="F66" s="108"/>
      <c r="G66" s="108"/>
      <c r="I66" s="57">
        <v>123456.789</v>
      </c>
      <c r="K66" s="26" t="str">
        <f t="shared" si="0"/>
        <v>Currency [0]</v>
      </c>
    </row>
    <row r="67" spans="3:11" ht="15" outlineLevel="1" x14ac:dyDescent="0.25">
      <c r="C67" s="108"/>
      <c r="D67" s="108"/>
      <c r="E67" s="108"/>
      <c r="F67" s="108"/>
      <c r="G67" s="108"/>
      <c r="K67" s="26"/>
    </row>
    <row r="68" spans="3:11" ht="15" outlineLevel="1" x14ac:dyDescent="0.25">
      <c r="C68" s="109" t="s">
        <v>62</v>
      </c>
      <c r="D68" s="109"/>
      <c r="E68" s="109"/>
      <c r="F68" s="109"/>
      <c r="G68" s="109"/>
      <c r="H68" s="15"/>
      <c r="I68" s="58">
        <f ca="1">TODAY()</f>
        <v>43978</v>
      </c>
      <c r="J68" s="15"/>
      <c r="K68" s="26" t="str">
        <f>C68</f>
        <v>Date</v>
      </c>
    </row>
    <row r="69" spans="3:11" ht="15" outlineLevel="1" x14ac:dyDescent="0.25">
      <c r="C69" s="109"/>
      <c r="D69" s="109"/>
      <c r="E69" s="109"/>
      <c r="F69" s="109"/>
      <c r="G69" s="109"/>
      <c r="H69" s="15"/>
      <c r="I69" s="15"/>
      <c r="J69" s="15"/>
      <c r="K69" s="26"/>
    </row>
    <row r="70" spans="3:11" ht="15" outlineLevel="1" x14ac:dyDescent="0.25">
      <c r="C70" s="109" t="s">
        <v>63</v>
      </c>
      <c r="D70" s="109"/>
      <c r="E70" s="109"/>
      <c r="F70" s="109"/>
      <c r="G70" s="109"/>
      <c r="H70" s="15"/>
      <c r="I70" s="59">
        <f ca="1">TODAY()</f>
        <v>43978</v>
      </c>
      <c r="J70" s="15"/>
      <c r="K70" s="26" t="str">
        <f>C70</f>
        <v>Date Heading</v>
      </c>
    </row>
    <row r="71" spans="3:11" ht="15" outlineLevel="1" x14ac:dyDescent="0.25">
      <c r="C71" s="108"/>
      <c r="D71" s="108"/>
      <c r="E71" s="108"/>
      <c r="F71" s="108"/>
      <c r="G71" s="108"/>
      <c r="K71" s="26"/>
    </row>
    <row r="72" spans="3:11" ht="15" outlineLevel="1" x14ac:dyDescent="0.25">
      <c r="C72" s="108" t="s">
        <v>64</v>
      </c>
      <c r="D72" s="108"/>
      <c r="E72" s="108"/>
      <c r="F72" s="108"/>
      <c r="G72" s="108"/>
      <c r="I72" s="40">
        <v>-123456.789</v>
      </c>
      <c r="K72" s="26" t="str">
        <f>C72</f>
        <v>Numbers 0</v>
      </c>
    </row>
    <row r="73" spans="3:11" ht="15" outlineLevel="1" x14ac:dyDescent="0.25">
      <c r="C73" s="108"/>
      <c r="D73" s="108"/>
      <c r="E73" s="108"/>
      <c r="F73" s="108"/>
      <c r="G73" s="108"/>
      <c r="K73" s="26"/>
    </row>
    <row r="74" spans="3:11" ht="15" outlineLevel="1" x14ac:dyDescent="0.25">
      <c r="C74" s="108" t="s">
        <v>65</v>
      </c>
      <c r="D74" s="108"/>
      <c r="E74" s="108"/>
      <c r="F74" s="108"/>
      <c r="G74" s="108"/>
      <c r="I74" s="41">
        <v>0.5</v>
      </c>
      <c r="K74" s="26" t="str">
        <f>C74</f>
        <v>Percent</v>
      </c>
    </row>
    <row r="75" spans="3:11" outlineLevel="1" x14ac:dyDescent="0.2">
      <c r="C75" s="108"/>
      <c r="D75" s="108"/>
      <c r="E75" s="108"/>
      <c r="F75" s="108"/>
      <c r="G75" s="108"/>
    </row>
    <row r="76" spans="3:11" outlineLevel="1" x14ac:dyDescent="0.2">
      <c r="C76" s="108"/>
      <c r="D76" s="108"/>
      <c r="E76" s="108"/>
      <c r="F76" s="108"/>
      <c r="G76" s="108"/>
    </row>
    <row r="77" spans="3:11" x14ac:dyDescent="0.2">
      <c r="C77" s="108"/>
      <c r="D77" s="108"/>
      <c r="E77" s="108"/>
      <c r="F77" s="108"/>
      <c r="G77" s="108"/>
    </row>
    <row r="78" spans="3:11" x14ac:dyDescent="0.2">
      <c r="C78" s="108"/>
      <c r="D78" s="108"/>
      <c r="E78" s="108"/>
      <c r="F78" s="108"/>
      <c r="G78" s="108"/>
    </row>
    <row r="79" spans="3:11" x14ac:dyDescent="0.2">
      <c r="C79" s="108"/>
      <c r="D79" s="108"/>
      <c r="E79" s="108"/>
      <c r="F79" s="108"/>
      <c r="G79" s="108"/>
    </row>
    <row r="80" spans="3:11" x14ac:dyDescent="0.2">
      <c r="C80" s="108"/>
      <c r="D80" s="108"/>
      <c r="E80" s="108"/>
      <c r="F80" s="108"/>
      <c r="G80" s="108"/>
    </row>
    <row r="81" spans="3:7" x14ac:dyDescent="0.2">
      <c r="C81" s="108"/>
      <c r="D81" s="108"/>
      <c r="E81" s="108"/>
      <c r="F81" s="108"/>
      <c r="G81" s="108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19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5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Model Parameters</v>
      </c>
      <c r="J1" s="107"/>
      <c r="K1" s="107"/>
    </row>
    <row r="2" spans="1:18" ht="18" x14ac:dyDescent="0.25">
      <c r="A2" s="51" t="str">
        <f ca="1">Model_Name</f>
        <v>Chapter 6.1 - SP Debt Sculpting Example.xlsx</v>
      </c>
    </row>
    <row r="3" spans="1:18" x14ac:dyDescent="0.2">
      <c r="A3" s="107" t="s">
        <v>1</v>
      </c>
      <c r="B3" s="107"/>
      <c r="C3" s="107"/>
      <c r="D3" s="107"/>
      <c r="E3" s="107"/>
    </row>
    <row r="4" spans="1:18" ht="14.25" x14ac:dyDescent="0.2">
      <c r="E4" t="s">
        <v>2</v>
      </c>
      <c r="I4" s="1">
        <f ca="1">Overall_Error_Check</f>
        <v>0</v>
      </c>
    </row>
    <row r="6" spans="1:18" ht="16.5" thickBot="1" x14ac:dyDescent="0.3">
      <c r="B6" s="52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112" t="str">
        <f ca="1">IF(ISERROR(OR(FIND("[",CELL("filename",A1)),FIND("]",CELL("filename",A1)))),"",MID(CELL("filename",A1),FIND("[",CELL("filename",A1))+1,FIND("]",CELL("filename",A1))-FIND("[",CELL("filename",A1))-1))</f>
        <v>Chapter 6.1 - SP Debt Sculpting Example.xlsx</v>
      </c>
      <c r="H11" s="113"/>
      <c r="I11" s="113"/>
      <c r="J11" s="113"/>
      <c r="K11" s="113"/>
      <c r="L11" s="113"/>
      <c r="M11" s="113"/>
      <c r="N11" s="114"/>
    </row>
    <row r="12" spans="1:18" outlineLevel="1" x14ac:dyDescent="0.2">
      <c r="E12" t="s">
        <v>6</v>
      </c>
      <c r="G12" s="115" t="s">
        <v>89</v>
      </c>
      <c r="H12" s="115"/>
      <c r="I12" s="115"/>
      <c r="J12" s="115"/>
      <c r="K12" s="115"/>
      <c r="L12" s="115"/>
      <c r="M12" s="115"/>
      <c r="N12" s="115"/>
    </row>
    <row r="13" spans="1:18" outlineLevel="1" x14ac:dyDescent="0.2"/>
    <row r="14" spans="1:18" outlineLevel="1" x14ac:dyDescent="0.2"/>
    <row r="15" spans="1:18" ht="16.5" thickBot="1" x14ac:dyDescent="0.3">
      <c r="B15" s="52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7" ht="16.5" outlineLevel="1" x14ac:dyDescent="0.25">
      <c r="C17" s="4" t="s">
        <v>8</v>
      </c>
    </row>
    <row r="18" spans="3:7" outlineLevel="1" x14ac:dyDescent="0.2"/>
    <row r="19" spans="3:7" outlineLevel="1" x14ac:dyDescent="0.2">
      <c r="E19" t="s">
        <v>9</v>
      </c>
      <c r="G19" s="6">
        <v>365</v>
      </c>
    </row>
    <row r="20" spans="3:7" outlineLevel="1" x14ac:dyDescent="0.2">
      <c r="E20" t="s">
        <v>10</v>
      </c>
      <c r="G20" s="6">
        <v>1</v>
      </c>
    </row>
    <row r="21" spans="3:7" outlineLevel="1" x14ac:dyDescent="0.2">
      <c r="E21" t="s">
        <v>11</v>
      </c>
      <c r="G21" s="6">
        <v>3</v>
      </c>
    </row>
    <row r="22" spans="3:7" outlineLevel="1" x14ac:dyDescent="0.2">
      <c r="E22" t="s">
        <v>12</v>
      </c>
      <c r="G22" s="6">
        <v>6</v>
      </c>
    </row>
    <row r="23" spans="3:7" outlineLevel="1" x14ac:dyDescent="0.2">
      <c r="E23" t="s">
        <v>13</v>
      </c>
      <c r="G23" s="6">
        <v>12</v>
      </c>
    </row>
    <row r="24" spans="3:7" outlineLevel="1" x14ac:dyDescent="0.2">
      <c r="E24" t="s">
        <v>14</v>
      </c>
      <c r="G24" s="6">
        <v>4</v>
      </c>
    </row>
    <row r="25" spans="3:7" outlineLevel="1" x14ac:dyDescent="0.2"/>
    <row r="26" spans="3:7" outlineLevel="1" x14ac:dyDescent="0.2">
      <c r="E26" t="s">
        <v>15</v>
      </c>
      <c r="G26" s="6">
        <v>5</v>
      </c>
    </row>
    <row r="27" spans="3:7" outlineLevel="1" x14ac:dyDescent="0.2"/>
    <row r="28" spans="3:7" outlineLevel="1" x14ac:dyDescent="0.2">
      <c r="E28" t="s">
        <v>16</v>
      </c>
      <c r="G28" s="7">
        <v>9.9999999999999997E+98</v>
      </c>
    </row>
    <row r="29" spans="3:7" outlineLevel="1" x14ac:dyDescent="0.2">
      <c r="E29" t="s">
        <v>17</v>
      </c>
      <c r="G29" s="7">
        <v>1E-8</v>
      </c>
    </row>
    <row r="30" spans="3:7" outlineLevel="1" x14ac:dyDescent="0.2"/>
    <row r="31" spans="3:7" outlineLevel="1" x14ac:dyDescent="0.2">
      <c r="E31" t="s">
        <v>18</v>
      </c>
      <c r="G31" s="6">
        <v>1000</v>
      </c>
    </row>
    <row r="32" spans="3:7" outlineLevel="1" x14ac:dyDescent="0.2"/>
    <row r="33" spans="5:7" outlineLevel="1" x14ac:dyDescent="0.2">
      <c r="E33" t="s">
        <v>60</v>
      </c>
      <c r="G33" s="6" t="s">
        <v>97</v>
      </c>
    </row>
    <row r="34" spans="5:7" outlineLevel="1" x14ac:dyDescent="0.2"/>
    <row r="35" spans="5:7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18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outlinePr summaryBelow="0" summaryRight="0"/>
  </sheetPr>
  <dimension ref="A1:O512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2" x14ac:dyDescent="0.2"/>
  <cols>
    <col min="1" max="1" width="3.7109375" customWidth="1"/>
    <col min="2" max="2" width="4.28515625" customWidth="1"/>
    <col min="3" max="5" width="3.7109375" customWidth="1"/>
    <col min="6" max="6" width="48.140625" customWidth="1"/>
    <col min="8" max="8" width="9.140625" customWidth="1"/>
  </cols>
  <sheetData>
    <row r="1" spans="1:15" s="64" customFormat="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Debt Sculpting Example</v>
      </c>
      <c r="I1" s="107"/>
      <c r="J1" s="107"/>
    </row>
    <row r="2" spans="1:15" s="64" customFormat="1" ht="18" x14ac:dyDescent="0.25">
      <c r="A2" s="51" t="str">
        <f ca="1">Model_Name</f>
        <v>Chapter 6.1 - SP Debt Sculpting Example.xlsx</v>
      </c>
    </row>
    <row r="3" spans="1:15" s="64" customFormat="1" x14ac:dyDescent="0.2">
      <c r="A3" s="107" t="s">
        <v>1</v>
      </c>
      <c r="B3" s="107"/>
      <c r="C3" s="107"/>
      <c r="D3" s="107"/>
      <c r="E3" s="107"/>
    </row>
    <row r="4" spans="1:15" s="64" customFormat="1" ht="14.25" x14ac:dyDescent="0.2">
      <c r="B4" s="64" t="s">
        <v>2</v>
      </c>
      <c r="G4" s="1">
        <f ca="1">Overall_Error_Check</f>
        <v>0</v>
      </c>
    </row>
    <row r="5" spans="1:15" s="64" customFormat="1" collapsed="1" x14ac:dyDescent="0.2">
      <c r="J5" s="44">
        <f ca="1">Timing!J5</f>
        <v>44561</v>
      </c>
      <c r="K5" s="44">
        <f ca="1">Timing!K5</f>
        <v>44926</v>
      </c>
      <c r="L5" s="44">
        <f ca="1">Timing!L5</f>
        <v>45291</v>
      </c>
      <c r="M5" s="44">
        <f ca="1">Timing!M5</f>
        <v>45657</v>
      </c>
      <c r="N5" s="44">
        <f ca="1">Timing!N5</f>
        <v>46022</v>
      </c>
    </row>
    <row r="6" spans="1:15" s="64" customFormat="1" hidden="1" outlineLevel="2" x14ac:dyDescent="0.2">
      <c r="C6" s="64" t="str">
        <f>Timing!C6</f>
        <v>Start Date</v>
      </c>
      <c r="J6" s="43">
        <f ca="1">Timing!J6</f>
        <v>44197</v>
      </c>
      <c r="K6" s="43">
        <f ca="1">Timing!K6</f>
        <v>44562</v>
      </c>
      <c r="L6" s="43">
        <f ca="1">Timing!L6</f>
        <v>44927</v>
      </c>
      <c r="M6" s="43">
        <f ca="1">Timing!M6</f>
        <v>45292</v>
      </c>
      <c r="N6" s="43">
        <f ca="1">Timing!N6</f>
        <v>45658</v>
      </c>
    </row>
    <row r="7" spans="1:15" s="64" customFormat="1" hidden="1" outlineLevel="2" x14ac:dyDescent="0.2">
      <c r="C7" s="64" t="str">
        <f>Timing!C7</f>
        <v>End Date</v>
      </c>
      <c r="J7" s="43">
        <f ca="1">Timing!J7</f>
        <v>44561</v>
      </c>
      <c r="K7" s="43">
        <f ca="1">Timing!K7</f>
        <v>44926</v>
      </c>
      <c r="L7" s="43">
        <f ca="1">Timing!L7</f>
        <v>45291</v>
      </c>
      <c r="M7" s="43">
        <f ca="1">Timing!M7</f>
        <v>45657</v>
      </c>
      <c r="N7" s="43">
        <f ca="1">Timing!N7</f>
        <v>46022</v>
      </c>
    </row>
    <row r="8" spans="1:15" s="64" customFormat="1" hidden="1" outlineLevel="2" x14ac:dyDescent="0.2">
      <c r="C8" s="64" t="str">
        <f>Timing!C8</f>
        <v>Number of Days</v>
      </c>
      <c r="J8" s="39">
        <f ca="1">Timing!J8</f>
        <v>365</v>
      </c>
      <c r="K8" s="39">
        <f ca="1">Timing!K8</f>
        <v>365</v>
      </c>
      <c r="L8" s="39">
        <f ca="1">Timing!L8</f>
        <v>365</v>
      </c>
      <c r="M8" s="39">
        <f ca="1">Timing!M8</f>
        <v>366</v>
      </c>
      <c r="N8" s="39">
        <f ca="1">Timing!N8</f>
        <v>365</v>
      </c>
    </row>
    <row r="9" spans="1:15" s="64" customFormat="1" hidden="1" outlineLevel="2" x14ac:dyDescent="0.2">
      <c r="C9" s="64" t="str">
        <f>Timing!C9</f>
        <v>Counter</v>
      </c>
      <c r="J9" s="39">
        <f>Timing!J9</f>
        <v>1</v>
      </c>
      <c r="K9" s="39">
        <f>Timing!K9</f>
        <v>2</v>
      </c>
      <c r="L9" s="39">
        <f>Timing!L9</f>
        <v>3</v>
      </c>
      <c r="M9" s="39">
        <f>Timing!M9</f>
        <v>4</v>
      </c>
      <c r="N9" s="39">
        <f>Timing!N9</f>
        <v>5</v>
      </c>
    </row>
    <row r="10" spans="1:15" s="64" customFormat="1" x14ac:dyDescent="0.2"/>
    <row r="11" spans="1:15" s="64" customFormat="1" ht="16.5" thickBot="1" x14ac:dyDescent="0.3">
      <c r="B11" s="52">
        <f>MAX($B$10:$B10)+1</f>
        <v>1</v>
      </c>
      <c r="C11" s="46" t="s">
        <v>90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64" customFormat="1" ht="12.75" outlineLevel="1" thickTop="1" x14ac:dyDescent="0.2"/>
    <row r="13" spans="1:15" s="64" customFormat="1" ht="16.5" outlineLevel="1" x14ac:dyDescent="0.25">
      <c r="C13" s="65" t="str">
        <f>C11</f>
        <v>Cash Flow Statement</v>
      </c>
    </row>
    <row r="14" spans="1:15" outlineLevel="1" x14ac:dyDescent="0.2"/>
    <row r="15" spans="1:15" ht="15" outlineLevel="1" x14ac:dyDescent="0.25">
      <c r="D15" s="5" t="s">
        <v>91</v>
      </c>
    </row>
    <row r="16" spans="1:15" outlineLevel="1" x14ac:dyDescent="0.2"/>
    <row r="17" spans="5:14" outlineLevel="1" x14ac:dyDescent="0.2">
      <c r="E17" s="66" t="s">
        <v>92</v>
      </c>
    </row>
    <row r="18" spans="5:14" s="64" customFormat="1" outlineLevel="1" x14ac:dyDescent="0.2">
      <c r="E18" s="66"/>
    </row>
    <row r="19" spans="5:14" outlineLevel="1" x14ac:dyDescent="0.2">
      <c r="F19" t="s">
        <v>93</v>
      </c>
      <c r="G19" s="37" t="str">
        <f>Currency</f>
        <v>$'000</v>
      </c>
      <c r="J19" s="67">
        <v>80</v>
      </c>
      <c r="K19" s="67">
        <v>90</v>
      </c>
      <c r="L19" s="67">
        <v>100</v>
      </c>
      <c r="M19" s="67">
        <v>110</v>
      </c>
      <c r="N19" s="67">
        <v>120</v>
      </c>
    </row>
    <row r="20" spans="5:14" outlineLevel="1" x14ac:dyDescent="0.2">
      <c r="F20" t="s">
        <v>94</v>
      </c>
      <c r="G20" s="37" t="str">
        <f>Currency</f>
        <v>$'000</v>
      </c>
      <c r="J20" s="67">
        <v>-43</v>
      </c>
      <c r="K20" s="67">
        <v>-49</v>
      </c>
      <c r="L20" s="67">
        <v>-57</v>
      </c>
      <c r="M20" s="67">
        <v>-64</v>
      </c>
      <c r="N20" s="67">
        <v>-69</v>
      </c>
    </row>
    <row r="21" spans="5:14" outlineLevel="1" x14ac:dyDescent="0.2">
      <c r="F21" t="s">
        <v>95</v>
      </c>
      <c r="G21" s="37" t="str">
        <f>Currency</f>
        <v>$'000</v>
      </c>
      <c r="H21" s="35">
        <f>ROW(I510)</f>
        <v>510</v>
      </c>
      <c r="J21" s="73">
        <f>-J510</f>
        <v>-4.8</v>
      </c>
      <c r="K21" s="73">
        <f t="shared" ref="K21:N21" ca="1" si="0">-K510</f>
        <v>-1.8716799999999998</v>
      </c>
      <c r="L21" s="73">
        <f t="shared" ca="1" si="0"/>
        <v>-1.0377339733333331</v>
      </c>
      <c r="M21" s="73">
        <f t="shared" ca="1" si="0"/>
        <v>-0.28812160540444404</v>
      </c>
      <c r="N21" s="73">
        <f t="shared" ca="1" si="0"/>
        <v>0</v>
      </c>
    </row>
    <row r="22" spans="5:14" outlineLevel="1" x14ac:dyDescent="0.2">
      <c r="F22" t="s">
        <v>96</v>
      </c>
      <c r="G22" s="37" t="str">
        <f>Currency</f>
        <v>$'000</v>
      </c>
      <c r="H22" s="35">
        <f>ROW(I149)</f>
        <v>149</v>
      </c>
      <c r="J22" s="73">
        <f ca="1">-J149</f>
        <v>-7.452</v>
      </c>
      <c r="K22" s="73">
        <f t="shared" ref="K22:N22" ca="1" si="1">-K149</f>
        <v>-9.2158879999999996</v>
      </c>
      <c r="L22" s="73">
        <f t="shared" ca="1" si="1"/>
        <v>-8.7229354666666676</v>
      </c>
      <c r="M22" s="73">
        <f t="shared" ca="1" si="1"/>
        <v>-7.8900832378595549</v>
      </c>
      <c r="N22" s="73">
        <f t="shared" ca="1" si="1"/>
        <v>-9.4980980095791789</v>
      </c>
    </row>
    <row r="23" spans="5:14" s="64" customFormat="1" outlineLevel="1" x14ac:dyDescent="0.2">
      <c r="G23" s="37"/>
      <c r="J23" s="69"/>
      <c r="K23" s="69"/>
      <c r="L23" s="69"/>
      <c r="M23" s="69"/>
      <c r="N23" s="69"/>
    </row>
    <row r="24" spans="5:14" outlineLevel="1" x14ac:dyDescent="0.2">
      <c r="F24" s="66" t="str">
        <f>"Net Cashflows from "&amp;E17</f>
        <v>Net Cashflows from Operating Activities</v>
      </c>
      <c r="G24" s="37" t="str">
        <f>Currency</f>
        <v>$'000</v>
      </c>
      <c r="J24" s="70">
        <f ca="1">SUM(J19:J22)</f>
        <v>24.748000000000005</v>
      </c>
      <c r="K24" s="70">
        <f t="shared" ref="K24:N24" ca="1" si="2">SUM(K19:K22)</f>
        <v>29.912432000000003</v>
      </c>
      <c r="L24" s="70">
        <f t="shared" ca="1" si="2"/>
        <v>33.239330559999999</v>
      </c>
      <c r="M24" s="70">
        <f t="shared" ca="1" si="2"/>
        <v>37.821795156736002</v>
      </c>
      <c r="N24" s="70">
        <f t="shared" ca="1" si="2"/>
        <v>41.501901990420819</v>
      </c>
    </row>
    <row r="25" spans="5:14" outlineLevel="1" x14ac:dyDescent="0.2">
      <c r="J25" s="69"/>
      <c r="K25" s="69"/>
      <c r="L25" s="69"/>
      <c r="M25" s="69"/>
      <c r="N25" s="69"/>
    </row>
    <row r="26" spans="5:14" outlineLevel="1" x14ac:dyDescent="0.2">
      <c r="J26" s="69"/>
      <c r="K26" s="69"/>
      <c r="L26" s="69"/>
      <c r="M26" s="69"/>
      <c r="N26" s="69"/>
    </row>
    <row r="27" spans="5:14" outlineLevel="1" x14ac:dyDescent="0.2">
      <c r="E27" s="66" t="s">
        <v>98</v>
      </c>
      <c r="J27" s="69"/>
      <c r="K27" s="69"/>
      <c r="L27" s="69"/>
      <c r="M27" s="69"/>
      <c r="N27" s="69"/>
    </row>
    <row r="28" spans="5:14" outlineLevel="1" x14ac:dyDescent="0.2">
      <c r="J28" s="69"/>
      <c r="K28" s="69"/>
      <c r="L28" s="69"/>
      <c r="M28" s="69"/>
      <c r="N28" s="69"/>
    </row>
    <row r="29" spans="5:14" outlineLevel="1" x14ac:dyDescent="0.2">
      <c r="F29" t="s">
        <v>99</v>
      </c>
      <c r="G29" s="37" t="str">
        <f>Currency</f>
        <v>$'000</v>
      </c>
      <c r="H29" s="35">
        <f>ROW(I107)</f>
        <v>107</v>
      </c>
      <c r="I29" s="64"/>
      <c r="J29" s="73">
        <f>J107</f>
        <v>0.14000000000000001</v>
      </c>
      <c r="K29" s="73">
        <f t="shared" ref="K29:N29" ca="1" si="3">K107</f>
        <v>1.5913066666666669</v>
      </c>
      <c r="L29" s="73">
        <f t="shared" ca="1" si="3"/>
        <v>0.864185528888889</v>
      </c>
      <c r="M29" s="73">
        <f t="shared" ca="1" si="3"/>
        <v>0.58839906493629623</v>
      </c>
      <c r="N29" s="73">
        <f t="shared" ca="1" si="3"/>
        <v>0.66032669859726267</v>
      </c>
    </row>
    <row r="30" spans="5:14" outlineLevel="1" x14ac:dyDescent="0.2">
      <c r="F30" t="s">
        <v>100</v>
      </c>
      <c r="G30" s="37" t="str">
        <f>Currency</f>
        <v>$'000</v>
      </c>
      <c r="H30" s="37"/>
      <c r="I30" s="64"/>
      <c r="J30" s="67">
        <v>-30</v>
      </c>
      <c r="K30" s="67">
        <v>-10</v>
      </c>
      <c r="L30" s="67">
        <v>-15</v>
      </c>
      <c r="M30" s="67">
        <v>-25</v>
      </c>
      <c r="N30" s="67">
        <v>-30</v>
      </c>
    </row>
    <row r="31" spans="5:14" outlineLevel="1" x14ac:dyDescent="0.2">
      <c r="G31" s="37"/>
      <c r="H31" s="37"/>
      <c r="I31" s="64"/>
      <c r="J31" s="69"/>
      <c r="K31" s="69"/>
      <c r="L31" s="69"/>
      <c r="M31" s="69"/>
      <c r="N31" s="69"/>
    </row>
    <row r="32" spans="5:14" outlineLevel="1" x14ac:dyDescent="0.2">
      <c r="F32" s="66" t="str">
        <f>"Net Cashflows from "&amp;E27</f>
        <v>Net Cashflows from Investing Activities</v>
      </c>
      <c r="G32" s="37" t="str">
        <f>Currency</f>
        <v>$'000</v>
      </c>
      <c r="H32" s="37"/>
      <c r="I32" s="64"/>
      <c r="J32" s="70">
        <f>SUM(J29:J30)</f>
        <v>-29.86</v>
      </c>
      <c r="K32" s="70">
        <f t="shared" ref="K32:N32" ca="1" si="4">SUM(K29:K30)</f>
        <v>-8.4086933333333338</v>
      </c>
      <c r="L32" s="70">
        <f t="shared" ca="1" si="4"/>
        <v>-14.135814471111111</v>
      </c>
      <c r="M32" s="70">
        <f t="shared" ca="1" si="4"/>
        <v>-24.411600935063703</v>
      </c>
      <c r="N32" s="70">
        <f t="shared" ca="1" si="4"/>
        <v>-29.339673301402737</v>
      </c>
    </row>
    <row r="33" spans="2:15" outlineLevel="1" x14ac:dyDescent="0.2">
      <c r="G33" s="64"/>
      <c r="J33" s="69"/>
      <c r="K33" s="69"/>
      <c r="L33" s="69"/>
      <c r="M33" s="69"/>
      <c r="N33" s="69"/>
    </row>
    <row r="34" spans="2:15" outlineLevel="1" x14ac:dyDescent="0.2">
      <c r="G34" s="64"/>
      <c r="J34" s="69"/>
      <c r="K34" s="69"/>
      <c r="L34" s="69"/>
      <c r="M34" s="69"/>
      <c r="N34" s="69"/>
    </row>
    <row r="35" spans="2:15" outlineLevel="1" x14ac:dyDescent="0.2">
      <c r="E35" s="66" t="s">
        <v>101</v>
      </c>
      <c r="G35" s="64"/>
      <c r="J35" s="69"/>
      <c r="K35" s="69"/>
      <c r="L35" s="69"/>
      <c r="M35" s="69"/>
      <c r="N35" s="69"/>
    </row>
    <row r="36" spans="2:15" outlineLevel="1" x14ac:dyDescent="0.2">
      <c r="G36" s="64"/>
      <c r="J36" s="69"/>
      <c r="K36" s="69"/>
      <c r="L36" s="69"/>
      <c r="M36" s="69"/>
      <c r="N36" s="69"/>
    </row>
    <row r="37" spans="2:15" outlineLevel="1" x14ac:dyDescent="0.2">
      <c r="F37" t="s">
        <v>102</v>
      </c>
      <c r="G37" s="37" t="str">
        <f>Currency</f>
        <v>$'000</v>
      </c>
      <c r="H37" s="37"/>
      <c r="I37" s="64"/>
      <c r="J37" s="67">
        <v>80</v>
      </c>
      <c r="K37" s="71"/>
      <c r="L37" s="71"/>
      <c r="M37" s="71"/>
      <c r="N37" s="71"/>
    </row>
    <row r="38" spans="2:15" outlineLevel="1" x14ac:dyDescent="0.2">
      <c r="F38" t="s">
        <v>103</v>
      </c>
      <c r="G38" s="37" t="str">
        <f>Currency</f>
        <v>$'000</v>
      </c>
      <c r="H38" s="35">
        <f>ROW(I501)</f>
        <v>501</v>
      </c>
      <c r="I38" s="64"/>
      <c r="J38" s="73">
        <f ca="1">-J501</f>
        <v>-48.805333333333337</v>
      </c>
      <c r="K38" s="73">
        <f t="shared" ref="K38:N38" ca="1" si="5">-K501</f>
        <v>-13.899100444444446</v>
      </c>
      <c r="L38" s="73">
        <f t="shared" ca="1" si="5"/>
        <v>-12.493539465481483</v>
      </c>
      <c r="M38" s="73">
        <f t="shared" ca="1" si="5"/>
        <v>-4.8020267567407338</v>
      </c>
      <c r="N38" s="73">
        <f t="shared" ca="1" si="5"/>
        <v>0</v>
      </c>
    </row>
    <row r="39" spans="2:15" outlineLevel="1" x14ac:dyDescent="0.2">
      <c r="F39" t="s">
        <v>104</v>
      </c>
      <c r="G39" s="37" t="str">
        <f>Currency</f>
        <v>$'000</v>
      </c>
      <c r="H39" s="37"/>
      <c r="I39" s="64"/>
      <c r="J39" s="67">
        <v>0</v>
      </c>
      <c r="K39" s="67">
        <v>0</v>
      </c>
      <c r="L39" s="67">
        <v>0</v>
      </c>
      <c r="M39" s="67">
        <v>0</v>
      </c>
      <c r="N39" s="67">
        <v>0</v>
      </c>
    </row>
    <row r="40" spans="2:15" outlineLevel="1" x14ac:dyDescent="0.2">
      <c r="F40" t="s">
        <v>105</v>
      </c>
      <c r="G40" s="37" t="str">
        <f>Currency</f>
        <v>$'000</v>
      </c>
      <c r="H40" s="37"/>
      <c r="I40" s="64"/>
      <c r="J40" s="67">
        <v>0</v>
      </c>
      <c r="K40" s="67">
        <v>0</v>
      </c>
      <c r="L40" s="67">
        <v>0</v>
      </c>
      <c r="M40" s="67">
        <v>0</v>
      </c>
      <c r="N40" s="67">
        <v>0</v>
      </c>
    </row>
    <row r="41" spans="2:15" outlineLevel="1" x14ac:dyDescent="0.2">
      <c r="F41" t="s">
        <v>106</v>
      </c>
      <c r="G41" s="37" t="str">
        <f>Currency</f>
        <v>$'000</v>
      </c>
      <c r="H41" s="37"/>
      <c r="I41" s="64"/>
      <c r="J41" s="67">
        <v>-1.8</v>
      </c>
      <c r="K41" s="67">
        <v>0</v>
      </c>
      <c r="L41" s="67">
        <v>-2.4</v>
      </c>
      <c r="M41" s="67">
        <v>-2.6</v>
      </c>
      <c r="N41" s="67">
        <v>-2.8</v>
      </c>
    </row>
    <row r="42" spans="2:15" outlineLevel="1" x14ac:dyDescent="0.2">
      <c r="G42" s="64"/>
      <c r="J42" s="69"/>
      <c r="K42" s="69"/>
      <c r="L42" s="69"/>
      <c r="M42" s="69"/>
      <c r="N42" s="69"/>
    </row>
    <row r="43" spans="2:15" outlineLevel="1" x14ac:dyDescent="0.2">
      <c r="F43" s="66" t="str">
        <f>"Net Cashflows from "&amp;E35</f>
        <v>Net Cashflows from Financing Activities</v>
      </c>
      <c r="G43" s="37" t="str">
        <f>Currency</f>
        <v>$'000</v>
      </c>
      <c r="H43" s="37"/>
      <c r="I43" s="64"/>
      <c r="J43" s="70">
        <f ca="1">SUM(J38:J41)+IF(J$9=1,J37,)</f>
        <v>29.394666666666666</v>
      </c>
      <c r="K43" s="70">
        <f t="shared" ref="K43:N43" ca="1" si="6">SUM(K38:K41)+IF(K$9=1,K37,)</f>
        <v>-13.899100444444446</v>
      </c>
      <c r="L43" s="70">
        <f t="shared" ca="1" si="6"/>
        <v>-14.893539465481483</v>
      </c>
      <c r="M43" s="70">
        <f t="shared" ca="1" si="6"/>
        <v>-7.4020267567407334</v>
      </c>
      <c r="N43" s="70">
        <f t="shared" ca="1" si="6"/>
        <v>-2.8</v>
      </c>
    </row>
    <row r="44" spans="2:15" outlineLevel="1" x14ac:dyDescent="0.2">
      <c r="G44" s="64"/>
      <c r="J44" s="69"/>
      <c r="K44" s="69"/>
      <c r="L44" s="69"/>
      <c r="M44" s="69"/>
      <c r="N44" s="69"/>
    </row>
    <row r="45" spans="2:15" ht="12.75" outlineLevel="1" thickBot="1" x14ac:dyDescent="0.25">
      <c r="E45" s="66" t="s">
        <v>107</v>
      </c>
      <c r="G45" s="37" t="str">
        <f>Currency</f>
        <v>$'000</v>
      </c>
      <c r="H45" s="37"/>
      <c r="J45" s="72">
        <f ca="1">J24+J32+J43</f>
        <v>24.282666666666671</v>
      </c>
      <c r="K45" s="72">
        <f t="shared" ref="K45:N45" ca="1" si="7">K24+K32+K43</f>
        <v>7.6046382222222242</v>
      </c>
      <c r="L45" s="72">
        <f t="shared" ca="1" si="7"/>
        <v>4.209976623407405</v>
      </c>
      <c r="M45" s="72">
        <f t="shared" ca="1" si="7"/>
        <v>6.0081674649315655</v>
      </c>
      <c r="N45" s="72">
        <f t="shared" ca="1" si="7"/>
        <v>9.3622286890180817</v>
      </c>
    </row>
    <row r="46" spans="2:15" ht="12.75" outlineLevel="1" thickTop="1" x14ac:dyDescent="0.2">
      <c r="G46" s="64"/>
    </row>
    <row r="47" spans="2:15" outlineLevel="1" x14ac:dyDescent="0.2">
      <c r="G47" s="64"/>
    </row>
    <row r="48" spans="2:15" s="64" customFormat="1" ht="16.5" thickBot="1" x14ac:dyDescent="0.3">
      <c r="B48" s="52">
        <f>MAX($B$10:$B47)+1</f>
        <v>2</v>
      </c>
      <c r="C48" s="46" t="s">
        <v>108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3:14" s="64" customFormat="1" ht="12.75" outlineLevel="1" thickTop="1" x14ac:dyDescent="0.2"/>
    <row r="50" spans="3:14" s="64" customFormat="1" ht="16.5" outlineLevel="1" x14ac:dyDescent="0.25">
      <c r="C50" s="65" t="str">
        <f>C48</f>
        <v>Depreciation</v>
      </c>
    </row>
    <row r="51" spans="3:14" s="64" customFormat="1" outlineLevel="1" x14ac:dyDescent="0.2"/>
    <row r="52" spans="3:14" s="64" customFormat="1" ht="15" outlineLevel="1" x14ac:dyDescent="0.25">
      <c r="D52" s="5" t="s">
        <v>68</v>
      </c>
    </row>
    <row r="53" spans="3:14" outlineLevel="1" x14ac:dyDescent="0.2">
      <c r="G53" s="64"/>
    </row>
    <row r="54" spans="3:14" outlineLevel="1" x14ac:dyDescent="0.2">
      <c r="E54" s="23" t="s">
        <v>109</v>
      </c>
      <c r="G54" s="64"/>
    </row>
    <row r="55" spans="3:14" outlineLevel="1" x14ac:dyDescent="0.2">
      <c r="G55" s="64"/>
    </row>
    <row r="56" spans="3:14" s="64" customFormat="1" outlineLevel="1" x14ac:dyDescent="0.2">
      <c r="E56" s="64" t="s">
        <v>110</v>
      </c>
      <c r="G56" s="37" t="s">
        <v>111</v>
      </c>
      <c r="H56" s="74">
        <v>0.25</v>
      </c>
    </row>
    <row r="57" spans="3:14" s="64" customFormat="1" outlineLevel="1" x14ac:dyDescent="0.2"/>
    <row r="58" spans="3:14" s="64" customFormat="1" outlineLevel="1" x14ac:dyDescent="0.2"/>
    <row r="59" spans="3:14" s="64" customFormat="1" ht="15" outlineLevel="1" x14ac:dyDescent="0.25">
      <c r="D59" s="5" t="s">
        <v>112</v>
      </c>
    </row>
    <row r="60" spans="3:14" s="64" customFormat="1" outlineLevel="1" x14ac:dyDescent="0.2"/>
    <row r="61" spans="3:14" outlineLevel="1" x14ac:dyDescent="0.2">
      <c r="E61" t="str">
        <f>F30</f>
        <v>Net Capital Expenditure</v>
      </c>
      <c r="G61" s="37" t="str">
        <f>Currency</f>
        <v>$'000</v>
      </c>
      <c r="H61" s="35">
        <f>ROW(F30)</f>
        <v>30</v>
      </c>
      <c r="J61" s="73">
        <f>-J30</f>
        <v>30</v>
      </c>
      <c r="K61" s="73">
        <f t="shared" ref="K61:N61" si="8">-K30</f>
        <v>10</v>
      </c>
      <c r="L61" s="73">
        <f t="shared" si="8"/>
        <v>15</v>
      </c>
      <c r="M61" s="73">
        <f t="shared" si="8"/>
        <v>25</v>
      </c>
      <c r="N61" s="73">
        <f t="shared" si="8"/>
        <v>30</v>
      </c>
    </row>
    <row r="62" spans="3:14" outlineLevel="1" x14ac:dyDescent="0.2"/>
    <row r="63" spans="3:14" s="64" customFormat="1" outlineLevel="1" x14ac:dyDescent="0.2"/>
    <row r="64" spans="3:14" s="64" customFormat="1" ht="15" outlineLevel="1" x14ac:dyDescent="0.25">
      <c r="D64" s="5" t="s">
        <v>113</v>
      </c>
    </row>
    <row r="65" spans="2:15" s="64" customFormat="1" outlineLevel="1" x14ac:dyDescent="0.2"/>
    <row r="66" spans="2:15" outlineLevel="1" x14ac:dyDescent="0.2">
      <c r="E66" s="116">
        <f ca="1">OFFSET($I$5,,ROWS($D$66:$D66))</f>
        <v>44561</v>
      </c>
      <c r="F66" s="116"/>
      <c r="G66" s="37" t="str">
        <f>Currency</f>
        <v>$'000</v>
      </c>
      <c r="H66" s="75">
        <f ca="1">OFFSET($I$61,,ROWS($D$66:$D66))</f>
        <v>30</v>
      </c>
      <c r="I66" s="28"/>
      <c r="J66" s="68">
        <f ca="1">IF(J$9&gt;=ROWS($D$66:$D66),MIN($H66*$H$56,$H66-SUM($I66:I66)),)</f>
        <v>7.5</v>
      </c>
      <c r="K66" s="68">
        <f ca="1">IF(K$9&gt;=ROWS($D$66:$D66),MIN($H66*$H$56,$H66-SUM($I66:J66)),)</f>
        <v>7.5</v>
      </c>
      <c r="L66" s="68">
        <f ca="1">IF(L$9&gt;=ROWS($D$66:$D66),MIN($H66*$H$56,$H66-SUM($I66:K66)),)</f>
        <v>7.5</v>
      </c>
      <c r="M66" s="68">
        <f ca="1">IF(M$9&gt;=ROWS($D$66:$D66),MIN($H66*$H$56,$H66-SUM($I66:L66)),)</f>
        <v>7.5</v>
      </c>
      <c r="N66" s="68">
        <f ca="1">IF(N$9&gt;=ROWS($D$66:$D66),MIN($H66*$H$56,$H66-SUM($I66:M66)),)</f>
        <v>0</v>
      </c>
    </row>
    <row r="67" spans="2:15" outlineLevel="1" x14ac:dyDescent="0.2">
      <c r="E67" s="116">
        <f ca="1">OFFSET($I$5,,ROWS($D$66:$D67))</f>
        <v>44926</v>
      </c>
      <c r="F67" s="116"/>
      <c r="G67" s="37" t="str">
        <f>Currency</f>
        <v>$'000</v>
      </c>
      <c r="H67" s="75">
        <f ca="1">OFFSET($I$61,,ROWS($D$66:$D67))</f>
        <v>10</v>
      </c>
      <c r="I67" s="28"/>
      <c r="J67" s="68">
        <f>IF(J$9&gt;=ROWS($D$66:$D67),MIN($H67*$H$56,$H67-SUM($I67:I67)),)</f>
        <v>0</v>
      </c>
      <c r="K67" s="68">
        <f ca="1">IF(K$9&gt;=ROWS($D$66:$D67),MIN($H67*$H$56,$H67-SUM($I67:J67)),)</f>
        <v>2.5</v>
      </c>
      <c r="L67" s="68">
        <f ca="1">IF(L$9&gt;=ROWS($D$66:$D67),MIN($H67*$H$56,$H67-SUM($I67:K67)),)</f>
        <v>2.5</v>
      </c>
      <c r="M67" s="68">
        <f ca="1">IF(M$9&gt;=ROWS($D$66:$D67),MIN($H67*$H$56,$H67-SUM($I67:L67)),)</f>
        <v>2.5</v>
      </c>
      <c r="N67" s="68">
        <f ca="1">IF(N$9&gt;=ROWS($D$66:$D67),MIN($H67*$H$56,$H67-SUM($I67:M67)),)</f>
        <v>2.5</v>
      </c>
    </row>
    <row r="68" spans="2:15" outlineLevel="1" x14ac:dyDescent="0.2">
      <c r="E68" s="116">
        <f ca="1">OFFSET($I$5,,ROWS($D$66:$D68))</f>
        <v>45291</v>
      </c>
      <c r="F68" s="116"/>
      <c r="G68" s="37" t="str">
        <f>Currency</f>
        <v>$'000</v>
      </c>
      <c r="H68" s="75">
        <f ca="1">OFFSET($I$61,,ROWS($D$66:$D68))</f>
        <v>15</v>
      </c>
      <c r="I68" s="28"/>
      <c r="J68" s="68">
        <f>IF(J$9&gt;=ROWS($D$66:$D68),MIN($H68*$H$56,$H68-SUM($I68:I68)),)</f>
        <v>0</v>
      </c>
      <c r="K68" s="68">
        <f>IF(K$9&gt;=ROWS($D$66:$D68),MIN($H68*$H$56,$H68-SUM($I68:J68)),)</f>
        <v>0</v>
      </c>
      <c r="L68" s="68">
        <f ca="1">IF(L$9&gt;=ROWS($D$66:$D68),MIN($H68*$H$56,$H68-SUM($I68:K68)),)</f>
        <v>3.75</v>
      </c>
      <c r="M68" s="68">
        <f ca="1">IF(M$9&gt;=ROWS($D$66:$D68),MIN($H68*$H$56,$H68-SUM($I68:L68)),)</f>
        <v>3.75</v>
      </c>
      <c r="N68" s="68">
        <f ca="1">IF(N$9&gt;=ROWS($D$66:$D68),MIN($H68*$H$56,$H68-SUM($I68:M68)),)</f>
        <v>3.75</v>
      </c>
    </row>
    <row r="69" spans="2:15" outlineLevel="1" x14ac:dyDescent="0.2">
      <c r="E69" s="116">
        <f ca="1">OFFSET($I$5,,ROWS($D$66:$D69))</f>
        <v>45657</v>
      </c>
      <c r="F69" s="116"/>
      <c r="G69" s="37" t="str">
        <f>Currency</f>
        <v>$'000</v>
      </c>
      <c r="H69" s="75">
        <f ca="1">OFFSET($I$61,,ROWS($D$66:$D69))</f>
        <v>25</v>
      </c>
      <c r="I69" s="28"/>
      <c r="J69" s="68">
        <f>IF(J$9&gt;=ROWS($D$66:$D69),MIN($H69*$H$56,$H69-SUM($I69:I69)),)</f>
        <v>0</v>
      </c>
      <c r="K69" s="68">
        <f>IF(K$9&gt;=ROWS($D$66:$D69),MIN($H69*$H$56,$H69-SUM($I69:J69)),)</f>
        <v>0</v>
      </c>
      <c r="L69" s="68">
        <f>IF(L$9&gt;=ROWS($D$66:$D69),MIN($H69*$H$56,$H69-SUM($I69:K69)),)</f>
        <v>0</v>
      </c>
      <c r="M69" s="68">
        <f ca="1">IF(M$9&gt;=ROWS($D$66:$D69),MIN($H69*$H$56,$H69-SUM($I69:L69)),)</f>
        <v>6.25</v>
      </c>
      <c r="N69" s="68">
        <f ca="1">IF(N$9&gt;=ROWS($D$66:$D69),MIN($H69*$H$56,$H69-SUM($I69:M69)),)</f>
        <v>6.25</v>
      </c>
    </row>
    <row r="70" spans="2:15" outlineLevel="1" x14ac:dyDescent="0.2">
      <c r="E70" s="116">
        <f ca="1">OFFSET($I$5,,ROWS($D$66:$D70))</f>
        <v>46022</v>
      </c>
      <c r="F70" s="116"/>
      <c r="G70" s="37" t="str">
        <f>Currency</f>
        <v>$'000</v>
      </c>
      <c r="H70" s="75">
        <f ca="1">OFFSET($I$61,,ROWS($D$66:$D70))</f>
        <v>30</v>
      </c>
      <c r="I70" s="28"/>
      <c r="J70" s="68">
        <f>IF(J$9&gt;=ROWS($D$66:$D70),MIN($H70*$H$56,$H70-SUM($I70:I70)),)</f>
        <v>0</v>
      </c>
      <c r="K70" s="68">
        <f>IF(K$9&gt;=ROWS($D$66:$D70),MIN($H70*$H$56,$H70-SUM($I70:J70)),)</f>
        <v>0</v>
      </c>
      <c r="L70" s="68">
        <f>IF(L$9&gt;=ROWS($D$66:$D70),MIN($H70*$H$56,$H70-SUM($I70:K70)),)</f>
        <v>0</v>
      </c>
      <c r="M70" s="68">
        <f>IF(M$9&gt;=ROWS($D$66:$D70),MIN($H70*$H$56,$H70-SUM($I70:L70)),)</f>
        <v>0</v>
      </c>
      <c r="N70" s="68">
        <f ca="1">IF(N$9&gt;=ROWS($D$66:$D70),MIN($H70*$H$56,$H70-SUM($I70:M70)),)</f>
        <v>7.5</v>
      </c>
    </row>
    <row r="71" spans="2:15" outlineLevel="1" x14ac:dyDescent="0.2"/>
    <row r="72" spans="2:15" ht="12.75" outlineLevel="1" thickBot="1" x14ac:dyDescent="0.25">
      <c r="E72" s="77" t="str">
        <f>C48</f>
        <v>Depreciation</v>
      </c>
      <c r="G72" s="37" t="str">
        <f>Currency</f>
        <v>$'000</v>
      </c>
      <c r="J72" s="72">
        <f ca="1">SUM(J66:J70)</f>
        <v>7.5</v>
      </c>
      <c r="K72" s="72">
        <f t="shared" ref="K72:N72" ca="1" si="9">SUM(K66:K70)</f>
        <v>10</v>
      </c>
      <c r="L72" s="72">
        <f t="shared" ca="1" si="9"/>
        <v>13.75</v>
      </c>
      <c r="M72" s="72">
        <f t="shared" ca="1" si="9"/>
        <v>20</v>
      </c>
      <c r="N72" s="72">
        <f t="shared" ca="1" si="9"/>
        <v>20</v>
      </c>
    </row>
    <row r="73" spans="2:15" ht="12.75" outlineLevel="1" thickTop="1" x14ac:dyDescent="0.2"/>
    <row r="74" spans="2:15" outlineLevel="1" x14ac:dyDescent="0.2"/>
    <row r="75" spans="2:15" s="64" customFormat="1" ht="16.5" thickBot="1" x14ac:dyDescent="0.3">
      <c r="B75" s="52">
        <f>MAX($B$10:$B74)+1</f>
        <v>3</v>
      </c>
      <c r="C75" s="46" t="str">
        <f>F29</f>
        <v>Interest Received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2:15" s="64" customFormat="1" ht="12.75" outlineLevel="1" thickTop="1" x14ac:dyDescent="0.2"/>
    <row r="77" spans="2:15" s="64" customFormat="1" ht="16.5" outlineLevel="1" x14ac:dyDescent="0.25">
      <c r="C77" s="65" t="str">
        <f>C75</f>
        <v>Interest Received</v>
      </c>
    </row>
    <row r="78" spans="2:15" s="64" customFormat="1" outlineLevel="1" x14ac:dyDescent="0.2"/>
    <row r="79" spans="2:15" s="64" customFormat="1" ht="15" outlineLevel="1" x14ac:dyDescent="0.25">
      <c r="D79" s="5" t="s">
        <v>68</v>
      </c>
    </row>
    <row r="80" spans="2:15" outlineLevel="1" x14ac:dyDescent="0.2"/>
    <row r="81" spans="4:14" outlineLevel="1" x14ac:dyDescent="0.2">
      <c r="E81" s="23" t="s">
        <v>114</v>
      </c>
      <c r="F81" s="64"/>
      <c r="G81" s="64"/>
      <c r="H81" s="64"/>
    </row>
    <row r="82" spans="4:14" outlineLevel="1" x14ac:dyDescent="0.2">
      <c r="E82" s="64"/>
      <c r="F82" s="64"/>
      <c r="G82" s="64"/>
      <c r="H82" s="64"/>
    </row>
    <row r="83" spans="4:14" outlineLevel="1" x14ac:dyDescent="0.2">
      <c r="E83" s="64" t="s">
        <v>110</v>
      </c>
      <c r="F83" s="64"/>
      <c r="G83" s="37" t="s">
        <v>111</v>
      </c>
      <c r="H83" s="78">
        <v>0.04</v>
      </c>
    </row>
    <row r="84" spans="4:14" outlineLevel="1" x14ac:dyDescent="0.2"/>
    <row r="85" spans="4:14" outlineLevel="1" x14ac:dyDescent="0.2"/>
    <row r="86" spans="4:14" ht="15" outlineLevel="1" x14ac:dyDescent="0.25">
      <c r="D86" s="5" t="s">
        <v>112</v>
      </c>
    </row>
    <row r="87" spans="4:14" outlineLevel="1" x14ac:dyDescent="0.2"/>
    <row r="88" spans="4:14" s="64" customFormat="1" outlineLevel="1" x14ac:dyDescent="0.2">
      <c r="E88" s="66" t="s">
        <v>115</v>
      </c>
      <c r="G88" s="37" t="str">
        <f>Currency</f>
        <v>$'000</v>
      </c>
      <c r="H88" s="35">
        <f>ROW(I45)</f>
        <v>45</v>
      </c>
      <c r="J88" s="83">
        <f>I45</f>
        <v>0</v>
      </c>
      <c r="K88" s="83">
        <f t="shared" ref="K88:N88" ca="1" si="10">J45</f>
        <v>24.282666666666671</v>
      </c>
      <c r="L88" s="83">
        <f t="shared" ca="1" si="10"/>
        <v>7.6046382222222242</v>
      </c>
      <c r="M88" s="83">
        <f t="shared" ca="1" si="10"/>
        <v>4.209976623407405</v>
      </c>
      <c r="N88" s="83">
        <f t="shared" ca="1" si="10"/>
        <v>6.0081674649315655</v>
      </c>
    </row>
    <row r="89" spans="4:14" s="64" customFormat="1" outlineLevel="1" x14ac:dyDescent="0.2"/>
    <row r="90" spans="4:14" outlineLevel="1" x14ac:dyDescent="0.2">
      <c r="E90" t="str">
        <f>F19</f>
        <v>Cash Receipts</v>
      </c>
      <c r="G90" s="37" t="str">
        <f>Currency</f>
        <v>$'000</v>
      </c>
      <c r="H90" s="35">
        <f>ROW(I19)</f>
        <v>19</v>
      </c>
      <c r="J90" s="73">
        <f>J19</f>
        <v>80</v>
      </c>
      <c r="K90" s="73">
        <f t="shared" ref="K90:N90" si="11">K19</f>
        <v>90</v>
      </c>
      <c r="L90" s="73">
        <f t="shared" si="11"/>
        <v>100</v>
      </c>
      <c r="M90" s="73">
        <f t="shared" si="11"/>
        <v>110</v>
      </c>
      <c r="N90" s="73">
        <f t="shared" si="11"/>
        <v>120</v>
      </c>
    </row>
    <row r="91" spans="4:14" outlineLevel="1" x14ac:dyDescent="0.2">
      <c r="E91" t="str">
        <f>F20</f>
        <v>Cash Payments</v>
      </c>
      <c r="G91" s="37" t="str">
        <f>Currency</f>
        <v>$'000</v>
      </c>
      <c r="H91" s="35">
        <f>ROW(I20)</f>
        <v>20</v>
      </c>
      <c r="J91" s="73">
        <f>J20</f>
        <v>-43</v>
      </c>
      <c r="K91" s="73">
        <f t="shared" ref="K91:N91" si="12">K20</f>
        <v>-49</v>
      </c>
      <c r="L91" s="73">
        <f t="shared" si="12"/>
        <v>-57</v>
      </c>
      <c r="M91" s="73">
        <f t="shared" si="12"/>
        <v>-64</v>
      </c>
      <c r="N91" s="73">
        <f t="shared" si="12"/>
        <v>-69</v>
      </c>
    </row>
    <row r="92" spans="4:14" outlineLevel="1" x14ac:dyDescent="0.2">
      <c r="E92" t="str">
        <f>F30</f>
        <v>Net Capital Expenditure</v>
      </c>
      <c r="G92" s="37" t="str">
        <f>Currency</f>
        <v>$'000</v>
      </c>
      <c r="H92" s="35">
        <f>ROW(I22)</f>
        <v>22</v>
      </c>
      <c r="J92" s="73">
        <f>J30</f>
        <v>-30</v>
      </c>
      <c r="K92" s="73">
        <f>K30</f>
        <v>-10</v>
      </c>
      <c r="L92" s="73">
        <f>L30</f>
        <v>-15</v>
      </c>
      <c r="M92" s="73">
        <f>M30</f>
        <v>-25</v>
      </c>
      <c r="N92" s="73">
        <f>N30</f>
        <v>-30</v>
      </c>
    </row>
    <row r="93" spans="4:14" outlineLevel="1" x14ac:dyDescent="0.2">
      <c r="E93" s="66" t="s">
        <v>117</v>
      </c>
      <c r="G93" s="37" t="str">
        <f>Currency</f>
        <v>$'000</v>
      </c>
      <c r="J93" s="79">
        <f>SUM(J90:J92)</f>
        <v>7</v>
      </c>
      <c r="K93" s="79">
        <f t="shared" ref="K93:N93" si="13">SUM(K90:K92)</f>
        <v>31</v>
      </c>
      <c r="L93" s="79">
        <f t="shared" si="13"/>
        <v>28</v>
      </c>
      <c r="M93" s="79">
        <f t="shared" si="13"/>
        <v>21</v>
      </c>
      <c r="N93" s="79">
        <f t="shared" si="13"/>
        <v>21</v>
      </c>
    </row>
    <row r="94" spans="4:14" s="64" customFormat="1" outlineLevel="1" x14ac:dyDescent="0.2"/>
    <row r="95" spans="4:14" s="64" customFormat="1" outlineLevel="1" x14ac:dyDescent="0.2">
      <c r="E95" s="66" t="s">
        <v>118</v>
      </c>
      <c r="G95" s="37" t="str">
        <f>Currency</f>
        <v>$'000</v>
      </c>
      <c r="J95" s="82">
        <f>J93/2</f>
        <v>3.5</v>
      </c>
      <c r="K95" s="82">
        <f t="shared" ref="K95:N95" si="14">K93/2</f>
        <v>15.5</v>
      </c>
      <c r="L95" s="82">
        <f t="shared" si="14"/>
        <v>14</v>
      </c>
      <c r="M95" s="82">
        <f t="shared" si="14"/>
        <v>10.5</v>
      </c>
      <c r="N95" s="82">
        <f t="shared" si="14"/>
        <v>10.5</v>
      </c>
    </row>
    <row r="96" spans="4:14" s="64" customFormat="1" outlineLevel="1" x14ac:dyDescent="0.2"/>
    <row r="97" spans="2:15" outlineLevel="1" x14ac:dyDescent="0.2"/>
    <row r="98" spans="2:15" ht="15" outlineLevel="1" x14ac:dyDescent="0.25">
      <c r="D98" s="5" t="s">
        <v>113</v>
      </c>
    </row>
    <row r="99" spans="2:15" outlineLevel="1" x14ac:dyDescent="0.2"/>
    <row r="100" spans="2:15" outlineLevel="1" x14ac:dyDescent="0.2">
      <c r="E100" t="str">
        <f>E88</f>
        <v>Opening Balance</v>
      </c>
      <c r="G100" s="37" t="str">
        <f>Currency</f>
        <v>$'000</v>
      </c>
      <c r="J100" s="69">
        <f>J88</f>
        <v>0</v>
      </c>
      <c r="K100" s="69">
        <f ca="1">K88</f>
        <v>24.282666666666671</v>
      </c>
      <c r="L100" s="69">
        <f ca="1">L88</f>
        <v>7.6046382222222242</v>
      </c>
      <c r="M100" s="69">
        <f ca="1">M88</f>
        <v>4.209976623407405</v>
      </c>
      <c r="N100" s="69">
        <f ca="1">N88</f>
        <v>6.0081674649315655</v>
      </c>
    </row>
    <row r="101" spans="2:15" outlineLevel="1" x14ac:dyDescent="0.2">
      <c r="E101" t="str">
        <f>E95</f>
        <v>Average Relevant Period Cashflows</v>
      </c>
      <c r="G101" s="37" t="str">
        <f>Currency</f>
        <v>$'000</v>
      </c>
      <c r="J101" s="69">
        <f>J95</f>
        <v>3.5</v>
      </c>
      <c r="K101" s="69">
        <f t="shared" ref="K101:N101" si="15">K95</f>
        <v>15.5</v>
      </c>
      <c r="L101" s="69">
        <f t="shared" si="15"/>
        <v>14</v>
      </c>
      <c r="M101" s="69">
        <f t="shared" si="15"/>
        <v>10.5</v>
      </c>
      <c r="N101" s="69">
        <f t="shared" si="15"/>
        <v>10.5</v>
      </c>
    </row>
    <row r="102" spans="2:15" outlineLevel="1" x14ac:dyDescent="0.2"/>
    <row r="103" spans="2:15" outlineLevel="1" x14ac:dyDescent="0.2">
      <c r="E103" t="s">
        <v>116</v>
      </c>
      <c r="G103" s="37" t="str">
        <f>Currency</f>
        <v>$'000</v>
      </c>
      <c r="J103" s="80">
        <f>MAX(SUM(J100:J101),)</f>
        <v>3.5</v>
      </c>
      <c r="K103" s="80">
        <f t="shared" ref="K103:N103" ca="1" si="16">MAX(SUM(K100:K101),)</f>
        <v>39.782666666666671</v>
      </c>
      <c r="L103" s="80">
        <f t="shared" ca="1" si="16"/>
        <v>21.604638222222224</v>
      </c>
      <c r="M103" s="80">
        <f t="shared" ca="1" si="16"/>
        <v>14.709976623407405</v>
      </c>
      <c r="N103" s="80">
        <f t="shared" ca="1" si="16"/>
        <v>16.508167464931567</v>
      </c>
    </row>
    <row r="104" spans="2:15" outlineLevel="1" x14ac:dyDescent="0.2"/>
    <row r="105" spans="2:15" outlineLevel="1" x14ac:dyDescent="0.2">
      <c r="E105" t="str">
        <f>E83</f>
        <v>Periodic Rate</v>
      </c>
      <c r="G105" s="37" t="s">
        <v>111</v>
      </c>
      <c r="J105" s="81">
        <f>$H$83</f>
        <v>0.04</v>
      </c>
      <c r="K105" s="81">
        <f t="shared" ref="K105:N105" si="17">$H$83</f>
        <v>0.04</v>
      </c>
      <c r="L105" s="81">
        <f t="shared" si="17"/>
        <v>0.04</v>
      </c>
      <c r="M105" s="81">
        <f t="shared" si="17"/>
        <v>0.04</v>
      </c>
      <c r="N105" s="81">
        <f t="shared" si="17"/>
        <v>0.04</v>
      </c>
    </row>
    <row r="106" spans="2:15" outlineLevel="1" x14ac:dyDescent="0.2"/>
    <row r="107" spans="2:15" ht="12.75" outlineLevel="1" thickBot="1" x14ac:dyDescent="0.25">
      <c r="E107" s="77" t="str">
        <f>C75</f>
        <v>Interest Received</v>
      </c>
      <c r="G107" s="37" t="str">
        <f>Currency</f>
        <v>$'000</v>
      </c>
      <c r="J107" s="72">
        <f>J103*J105</f>
        <v>0.14000000000000001</v>
      </c>
      <c r="K107" s="72">
        <f t="shared" ref="K107:N107" ca="1" si="18">K103*K105</f>
        <v>1.5913066666666669</v>
      </c>
      <c r="L107" s="72">
        <f t="shared" ca="1" si="18"/>
        <v>0.864185528888889</v>
      </c>
      <c r="M107" s="72">
        <f t="shared" ca="1" si="18"/>
        <v>0.58839906493629623</v>
      </c>
      <c r="N107" s="72">
        <f t="shared" ca="1" si="18"/>
        <v>0.66032669859726267</v>
      </c>
    </row>
    <row r="108" spans="2:15" ht="12.75" outlineLevel="1" thickTop="1" x14ac:dyDescent="0.2"/>
    <row r="109" spans="2:15" outlineLevel="1" x14ac:dyDescent="0.2"/>
    <row r="110" spans="2:15" s="64" customFormat="1" ht="16.5" thickBot="1" x14ac:dyDescent="0.3">
      <c r="B110" s="52">
        <f>MAX($B$10:$B109)+1</f>
        <v>4</v>
      </c>
      <c r="C110" s="46" t="str">
        <f>F22</f>
        <v>Tax Paid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2:15" s="64" customFormat="1" ht="12.75" outlineLevel="1" thickTop="1" x14ac:dyDescent="0.2"/>
    <row r="112" spans="2:15" s="64" customFormat="1" ht="16.5" outlineLevel="1" x14ac:dyDescent="0.25">
      <c r="C112" s="65" t="str">
        <f>C110</f>
        <v>Tax Paid</v>
      </c>
    </row>
    <row r="113" spans="4:14" s="64" customFormat="1" outlineLevel="1" x14ac:dyDescent="0.2"/>
    <row r="114" spans="4:14" s="64" customFormat="1" ht="15" outlineLevel="1" x14ac:dyDescent="0.25">
      <c r="D114" s="5" t="s">
        <v>68</v>
      </c>
    </row>
    <row r="115" spans="4:14" s="64" customFormat="1" outlineLevel="1" x14ac:dyDescent="0.2"/>
    <row r="116" spans="4:14" s="64" customFormat="1" outlineLevel="1" x14ac:dyDescent="0.2">
      <c r="E116" s="23" t="s">
        <v>119</v>
      </c>
    </row>
    <row r="117" spans="4:14" outlineLevel="1" x14ac:dyDescent="0.2"/>
    <row r="118" spans="4:14" outlineLevel="1" x14ac:dyDescent="0.2">
      <c r="E118" t="s">
        <v>120</v>
      </c>
      <c r="G118" s="37" t="s">
        <v>111</v>
      </c>
      <c r="H118" s="78">
        <v>0.3</v>
      </c>
    </row>
    <row r="119" spans="4:14" outlineLevel="1" x14ac:dyDescent="0.2"/>
    <row r="120" spans="4:14" outlineLevel="1" x14ac:dyDescent="0.2"/>
    <row r="121" spans="4:14" ht="15" outlineLevel="1" x14ac:dyDescent="0.25">
      <c r="D121" s="5" t="s">
        <v>126</v>
      </c>
    </row>
    <row r="122" spans="4:14" outlineLevel="1" x14ac:dyDescent="0.2"/>
    <row r="123" spans="4:14" outlineLevel="1" x14ac:dyDescent="0.2">
      <c r="E123" t="str">
        <f>F19</f>
        <v>Cash Receipts</v>
      </c>
      <c r="G123" s="37" t="str">
        <f>Currency</f>
        <v>$'000</v>
      </c>
      <c r="H123" s="35">
        <f>ROW(I19)</f>
        <v>19</v>
      </c>
      <c r="I123" s="64"/>
      <c r="J123" s="73">
        <f>J19</f>
        <v>80</v>
      </c>
      <c r="K123" s="73">
        <f t="shared" ref="K123:N123" si="19">K19</f>
        <v>90</v>
      </c>
      <c r="L123" s="73">
        <f t="shared" si="19"/>
        <v>100</v>
      </c>
      <c r="M123" s="73">
        <f t="shared" si="19"/>
        <v>110</v>
      </c>
      <c r="N123" s="73">
        <f t="shared" si="19"/>
        <v>120</v>
      </c>
    </row>
    <row r="124" spans="4:14" outlineLevel="1" x14ac:dyDescent="0.2">
      <c r="E124" s="64" t="str">
        <f>F20</f>
        <v>Cash Payments</v>
      </c>
      <c r="G124" s="37" t="str">
        <f>Currency</f>
        <v>$'000</v>
      </c>
      <c r="H124" s="35">
        <f>ROW(I20)</f>
        <v>20</v>
      </c>
      <c r="I124" s="64"/>
      <c r="J124" s="73">
        <f>J20</f>
        <v>-43</v>
      </c>
      <c r="K124" s="73">
        <f t="shared" ref="K124:N124" si="20">K20</f>
        <v>-49</v>
      </c>
      <c r="L124" s="73">
        <f t="shared" si="20"/>
        <v>-57</v>
      </c>
      <c r="M124" s="73">
        <f t="shared" si="20"/>
        <v>-64</v>
      </c>
      <c r="N124" s="73">
        <f t="shared" si="20"/>
        <v>-69</v>
      </c>
    </row>
    <row r="125" spans="4:14" outlineLevel="1" x14ac:dyDescent="0.2"/>
    <row r="126" spans="4:14" outlineLevel="1" x14ac:dyDescent="0.2">
      <c r="E126" s="66" t="s">
        <v>121</v>
      </c>
      <c r="G126" s="37" t="str">
        <f>Currency</f>
        <v>$'000</v>
      </c>
      <c r="J126" s="80">
        <f>SUM(J123:J124)</f>
        <v>37</v>
      </c>
      <c r="K126" s="80">
        <f t="shared" ref="K126:N126" si="21">SUM(K123:K124)</f>
        <v>41</v>
      </c>
      <c r="L126" s="80">
        <f t="shared" si="21"/>
        <v>43</v>
      </c>
      <c r="M126" s="80">
        <f t="shared" si="21"/>
        <v>46</v>
      </c>
      <c r="N126" s="80">
        <f t="shared" si="21"/>
        <v>51</v>
      </c>
    </row>
    <row r="127" spans="4:14" outlineLevel="1" x14ac:dyDescent="0.2"/>
    <row r="128" spans="4:14" outlineLevel="1" x14ac:dyDescent="0.2">
      <c r="E128" s="76" t="str">
        <f>E72</f>
        <v>Depreciation</v>
      </c>
      <c r="G128" s="37" t="str">
        <f>Currency</f>
        <v>$'000</v>
      </c>
      <c r="H128" s="35">
        <f>ROW(I72)</f>
        <v>72</v>
      </c>
      <c r="I128" s="64"/>
      <c r="J128" s="73">
        <f ca="1">-J72</f>
        <v>-7.5</v>
      </c>
      <c r="K128" s="73">
        <f t="shared" ref="K128:N128" ca="1" si="22">-K72</f>
        <v>-10</v>
      </c>
      <c r="L128" s="73">
        <f t="shared" ca="1" si="22"/>
        <v>-13.75</v>
      </c>
      <c r="M128" s="73">
        <f t="shared" ca="1" si="22"/>
        <v>-20</v>
      </c>
      <c r="N128" s="73">
        <f t="shared" ca="1" si="22"/>
        <v>-20</v>
      </c>
    </row>
    <row r="129" spans="4:14" outlineLevel="1" x14ac:dyDescent="0.2"/>
    <row r="130" spans="4:14" outlineLevel="1" x14ac:dyDescent="0.2">
      <c r="E130" s="66" t="s">
        <v>122</v>
      </c>
      <c r="G130" s="37" t="str">
        <f>Currency</f>
        <v>$'000</v>
      </c>
      <c r="H130" s="64"/>
      <c r="I130" s="64"/>
      <c r="J130" s="80">
        <f ca="1">J126+J128</f>
        <v>29.5</v>
      </c>
      <c r="K130" s="80">
        <f t="shared" ref="K130:N130" ca="1" si="23">K126+K128</f>
        <v>31</v>
      </c>
      <c r="L130" s="80">
        <f t="shared" ca="1" si="23"/>
        <v>29.25</v>
      </c>
      <c r="M130" s="80">
        <f t="shared" ca="1" si="23"/>
        <v>26</v>
      </c>
      <c r="N130" s="80">
        <f t="shared" ca="1" si="23"/>
        <v>31</v>
      </c>
    </row>
    <row r="131" spans="4:14" outlineLevel="1" x14ac:dyDescent="0.2"/>
    <row r="132" spans="4:14" outlineLevel="1" x14ac:dyDescent="0.2">
      <c r="E132" s="76" t="str">
        <f>E107</f>
        <v>Interest Received</v>
      </c>
      <c r="G132" s="37" t="str">
        <f>Currency</f>
        <v>$'000</v>
      </c>
      <c r="H132" s="35">
        <f>ROW(I107)</f>
        <v>107</v>
      </c>
      <c r="I132" s="64"/>
      <c r="J132" s="73">
        <f>J107</f>
        <v>0.14000000000000001</v>
      </c>
      <c r="K132" s="73">
        <f t="shared" ref="K132:N132" ca="1" si="24">K107</f>
        <v>1.5913066666666669</v>
      </c>
      <c r="L132" s="73">
        <f t="shared" ca="1" si="24"/>
        <v>0.864185528888889</v>
      </c>
      <c r="M132" s="73">
        <f t="shared" ca="1" si="24"/>
        <v>0.58839906493629623</v>
      </c>
      <c r="N132" s="73">
        <f t="shared" ca="1" si="24"/>
        <v>0.66032669859726267</v>
      </c>
    </row>
    <row r="133" spans="4:14" outlineLevel="1" x14ac:dyDescent="0.2">
      <c r="E133" t="str">
        <f>F21</f>
        <v>Interest Paid</v>
      </c>
      <c r="G133" s="37" t="str">
        <f>Currency</f>
        <v>$'000</v>
      </c>
      <c r="H133" s="35">
        <f>ROW(I21)</f>
        <v>21</v>
      </c>
      <c r="I133" s="64"/>
      <c r="J133" s="73">
        <f>J21</f>
        <v>-4.8</v>
      </c>
      <c r="K133" s="73">
        <f t="shared" ref="K133:N133" ca="1" si="25">K21</f>
        <v>-1.8716799999999998</v>
      </c>
      <c r="L133" s="73">
        <f t="shared" ca="1" si="25"/>
        <v>-1.0377339733333331</v>
      </c>
      <c r="M133" s="73">
        <f t="shared" ca="1" si="25"/>
        <v>-0.28812160540444404</v>
      </c>
      <c r="N133" s="73">
        <f t="shared" ca="1" si="25"/>
        <v>0</v>
      </c>
    </row>
    <row r="134" spans="4:14" outlineLevel="1" x14ac:dyDescent="0.2"/>
    <row r="135" spans="4:14" outlineLevel="1" x14ac:dyDescent="0.2">
      <c r="E135" s="66" t="s">
        <v>123</v>
      </c>
      <c r="F135" s="64"/>
      <c r="G135" s="37" t="str">
        <f>Currency</f>
        <v>$'000</v>
      </c>
      <c r="H135" s="64"/>
      <c r="I135" s="64"/>
      <c r="J135" s="80">
        <f ca="1">SUM(J130,J132:J133)</f>
        <v>24.84</v>
      </c>
      <c r="K135" s="80">
        <f t="shared" ref="K135:N135" ca="1" si="26">SUM(K130,K132:K133)</f>
        <v>30.719626666666667</v>
      </c>
      <c r="L135" s="80">
        <f t="shared" ca="1" si="26"/>
        <v>29.076451555555558</v>
      </c>
      <c r="M135" s="80">
        <f t="shared" ca="1" si="26"/>
        <v>26.300277459531852</v>
      </c>
      <c r="N135" s="80">
        <f t="shared" ca="1" si="26"/>
        <v>31.660326698597263</v>
      </c>
    </row>
    <row r="136" spans="4:14" outlineLevel="1" x14ac:dyDescent="0.2"/>
    <row r="137" spans="4:14" outlineLevel="1" x14ac:dyDescent="0.2">
      <c r="E137" t="s">
        <v>125</v>
      </c>
      <c r="G137" s="37" t="str">
        <f>Currency</f>
        <v>$'000</v>
      </c>
      <c r="J137" s="69">
        <f ca="1">-J135*$H$118</f>
        <v>-7.452</v>
      </c>
      <c r="K137" s="69">
        <f t="shared" ref="K137:N137" ca="1" si="27">-K135*$H$118</f>
        <v>-9.2158879999999996</v>
      </c>
      <c r="L137" s="69">
        <f t="shared" ca="1" si="27"/>
        <v>-8.7229354666666676</v>
      </c>
      <c r="M137" s="69">
        <f t="shared" ca="1" si="27"/>
        <v>-7.8900832378595549</v>
      </c>
      <c r="N137" s="69">
        <f t="shared" ca="1" si="27"/>
        <v>-9.4980980095791789</v>
      </c>
    </row>
    <row r="138" spans="4:14" outlineLevel="1" x14ac:dyDescent="0.2"/>
    <row r="139" spans="4:14" ht="12.75" outlineLevel="1" thickBot="1" x14ac:dyDescent="0.25">
      <c r="E139" s="66" t="s">
        <v>124</v>
      </c>
      <c r="G139" s="37" t="str">
        <f>Currency</f>
        <v>$'000</v>
      </c>
      <c r="J139" s="84">
        <f ca="1">J135+J137</f>
        <v>17.387999999999998</v>
      </c>
      <c r="K139" s="84">
        <f t="shared" ref="K139:N139" ca="1" si="28">K135+K137</f>
        <v>21.503738666666667</v>
      </c>
      <c r="L139" s="84">
        <f t="shared" ca="1" si="28"/>
        <v>20.353516088888888</v>
      </c>
      <c r="M139" s="84">
        <f t="shared" ca="1" si="28"/>
        <v>18.410194221672299</v>
      </c>
      <c r="N139" s="84">
        <f t="shared" ca="1" si="28"/>
        <v>22.162228689018086</v>
      </c>
    </row>
    <row r="140" spans="4:14" ht="12.75" outlineLevel="1" thickTop="1" x14ac:dyDescent="0.2"/>
    <row r="141" spans="4:14" outlineLevel="1" x14ac:dyDescent="0.2"/>
    <row r="142" spans="4:14" ht="15" outlineLevel="1" x14ac:dyDescent="0.25">
      <c r="D142" s="5" t="str">
        <f>C110</f>
        <v>Tax Paid</v>
      </c>
    </row>
    <row r="143" spans="4:14" outlineLevel="1" x14ac:dyDescent="0.2"/>
    <row r="144" spans="4:14" outlineLevel="1" x14ac:dyDescent="0.2">
      <c r="E144" t="s">
        <v>115</v>
      </c>
      <c r="G144" s="37" t="str">
        <f>Currency</f>
        <v>$'000</v>
      </c>
      <c r="J144" s="69">
        <f>I147</f>
        <v>0</v>
      </c>
      <c r="K144" s="69">
        <f t="shared" ref="K144:N144" ca="1" si="29">J147</f>
        <v>0</v>
      </c>
      <c r="L144" s="69">
        <f t="shared" ca="1" si="29"/>
        <v>0</v>
      </c>
      <c r="M144" s="69">
        <f t="shared" ca="1" si="29"/>
        <v>0</v>
      </c>
      <c r="N144" s="69">
        <f t="shared" ca="1" si="29"/>
        <v>0</v>
      </c>
    </row>
    <row r="145" spans="2:15" outlineLevel="1" x14ac:dyDescent="0.2">
      <c r="E145" t="s">
        <v>127</v>
      </c>
      <c r="G145" s="37" t="str">
        <f>Currency</f>
        <v>$'000</v>
      </c>
      <c r="H145" s="35">
        <f>ROW(I137)</f>
        <v>137</v>
      </c>
      <c r="J145" s="73">
        <f ca="1">-J137</f>
        <v>7.452</v>
      </c>
      <c r="K145" s="73">
        <f t="shared" ref="K145:N145" ca="1" si="30">-K137</f>
        <v>9.2158879999999996</v>
      </c>
      <c r="L145" s="73">
        <f t="shared" ca="1" si="30"/>
        <v>8.7229354666666676</v>
      </c>
      <c r="M145" s="73">
        <f t="shared" ca="1" si="30"/>
        <v>7.8900832378595549</v>
      </c>
      <c r="N145" s="73">
        <f t="shared" ca="1" si="30"/>
        <v>9.4980980095791789</v>
      </c>
    </row>
    <row r="146" spans="2:15" outlineLevel="1" x14ac:dyDescent="0.2">
      <c r="E146" s="76" t="str">
        <f>C110</f>
        <v>Tax Paid</v>
      </c>
      <c r="G146" s="37" t="str">
        <f>Currency</f>
        <v>$'000</v>
      </c>
      <c r="J146" s="69">
        <f ca="1">-MAX(SUM(J144:J145),)</f>
        <v>-7.452</v>
      </c>
      <c r="K146" s="69">
        <f t="shared" ref="K146:N146" ca="1" si="31">-MAX(SUM(K144:K145),)</f>
        <v>-9.2158879999999996</v>
      </c>
      <c r="L146" s="69">
        <f t="shared" ca="1" si="31"/>
        <v>-8.7229354666666676</v>
      </c>
      <c r="M146" s="69">
        <f t="shared" ca="1" si="31"/>
        <v>-7.8900832378595549</v>
      </c>
      <c r="N146" s="69">
        <f t="shared" ca="1" si="31"/>
        <v>-9.4980980095791789</v>
      </c>
    </row>
    <row r="147" spans="2:15" outlineLevel="1" x14ac:dyDescent="0.2">
      <c r="E147" t="s">
        <v>128</v>
      </c>
      <c r="G147" s="37" t="str">
        <f>Currency</f>
        <v>$'000</v>
      </c>
      <c r="I147" s="28"/>
      <c r="J147" s="80">
        <f ca="1">SUM(J144:J146)</f>
        <v>0</v>
      </c>
      <c r="K147" s="80">
        <f t="shared" ref="K147:N147" ca="1" si="32">SUM(K144:K146)</f>
        <v>0</v>
      </c>
      <c r="L147" s="80">
        <f t="shared" ca="1" si="32"/>
        <v>0</v>
      </c>
      <c r="M147" s="80">
        <f t="shared" ca="1" si="32"/>
        <v>0</v>
      </c>
      <c r="N147" s="80">
        <f t="shared" ca="1" si="32"/>
        <v>0</v>
      </c>
    </row>
    <row r="148" spans="2:15" outlineLevel="1" x14ac:dyDescent="0.2"/>
    <row r="149" spans="2:15" ht="12.75" outlineLevel="1" thickBot="1" x14ac:dyDescent="0.25">
      <c r="E149" s="77" t="str">
        <f>C110</f>
        <v>Tax Paid</v>
      </c>
      <c r="G149" s="37" t="str">
        <f>Currency</f>
        <v>$'000</v>
      </c>
      <c r="H149" s="35">
        <f>ROW(I146)</f>
        <v>146</v>
      </c>
      <c r="I149" s="64"/>
      <c r="J149" s="84">
        <f ca="1">-J146</f>
        <v>7.452</v>
      </c>
      <c r="K149" s="84">
        <f t="shared" ref="K149:N149" ca="1" si="33">-K146</f>
        <v>9.2158879999999996</v>
      </c>
      <c r="L149" s="84">
        <f t="shared" ca="1" si="33"/>
        <v>8.7229354666666676</v>
      </c>
      <c r="M149" s="84">
        <f t="shared" ca="1" si="33"/>
        <v>7.8900832378595549</v>
      </c>
      <c r="N149" s="84">
        <f t="shared" ca="1" si="33"/>
        <v>9.4980980095791789</v>
      </c>
    </row>
    <row r="150" spans="2:15" ht="12.75" outlineLevel="1" thickTop="1" x14ac:dyDescent="0.2"/>
    <row r="151" spans="2:15" outlineLevel="1" x14ac:dyDescent="0.2"/>
    <row r="152" spans="2:15" s="64" customFormat="1" ht="16.5" thickBot="1" x14ac:dyDescent="0.3">
      <c r="B152" s="52">
        <f>MAX($B$10:$B151)+1</f>
        <v>5</v>
      </c>
      <c r="C152" s="46" t="s">
        <v>172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2:15" s="64" customFormat="1" ht="12.75" outlineLevel="1" thickTop="1" x14ac:dyDescent="0.2"/>
    <row r="154" spans="2:15" s="64" customFormat="1" ht="16.5" outlineLevel="1" x14ac:dyDescent="0.25">
      <c r="C154" s="65" t="str">
        <f>C152</f>
        <v>Tax Paid for CFADS (DSCR)</v>
      </c>
    </row>
    <row r="155" spans="2:15" s="64" customFormat="1" outlineLevel="1" x14ac:dyDescent="0.2"/>
    <row r="156" spans="2:15" s="64" customFormat="1" ht="15" outlineLevel="1" x14ac:dyDescent="0.25">
      <c r="D156" s="5" t="s">
        <v>112</v>
      </c>
    </row>
    <row r="157" spans="2:15" outlineLevel="1" x14ac:dyDescent="0.2"/>
    <row r="158" spans="2:15" outlineLevel="1" x14ac:dyDescent="0.2">
      <c r="E158" t="str">
        <f>E118</f>
        <v>Tax Rate</v>
      </c>
      <c r="G158" s="37" t="s">
        <v>111</v>
      </c>
      <c r="H158" s="35">
        <f>ROW(I118)</f>
        <v>118</v>
      </c>
      <c r="I158" s="85">
        <f>H118</f>
        <v>0.3</v>
      </c>
    </row>
    <row r="159" spans="2:15" outlineLevel="1" x14ac:dyDescent="0.2"/>
    <row r="160" spans="2:15" outlineLevel="1" x14ac:dyDescent="0.2">
      <c r="E160" s="66" t="str">
        <f>E130</f>
        <v>Earnings Before Interest and Tax</v>
      </c>
      <c r="G160" s="37" t="str">
        <f>Currency</f>
        <v>$'000</v>
      </c>
      <c r="H160" s="35">
        <f>ROW(I130)</f>
        <v>130</v>
      </c>
      <c r="I160" s="64"/>
      <c r="J160" s="83">
        <f ca="1">J130</f>
        <v>29.5</v>
      </c>
      <c r="K160" s="83">
        <f t="shared" ref="K160:N160" ca="1" si="34">K130</f>
        <v>31</v>
      </c>
      <c r="L160" s="83">
        <f t="shared" ca="1" si="34"/>
        <v>29.25</v>
      </c>
      <c r="M160" s="83">
        <f t="shared" ca="1" si="34"/>
        <v>26</v>
      </c>
      <c r="N160" s="83">
        <f t="shared" ca="1" si="34"/>
        <v>31</v>
      </c>
    </row>
    <row r="161" spans="4:14" outlineLevel="1" x14ac:dyDescent="0.2">
      <c r="E161" s="76" t="str">
        <f>E132</f>
        <v>Interest Received</v>
      </c>
      <c r="G161" s="37" t="str">
        <f>Currency</f>
        <v>$'000</v>
      </c>
      <c r="H161" s="35">
        <f>ROW(I132)</f>
        <v>132</v>
      </c>
      <c r="I161" s="64"/>
      <c r="J161" s="73">
        <f>J132</f>
        <v>0.14000000000000001</v>
      </c>
      <c r="K161" s="73">
        <f t="shared" ref="K161:N161" ca="1" si="35">K132</f>
        <v>1.5913066666666669</v>
      </c>
      <c r="L161" s="73">
        <f t="shared" ca="1" si="35"/>
        <v>0.864185528888889</v>
      </c>
      <c r="M161" s="73">
        <f t="shared" ca="1" si="35"/>
        <v>0.58839906493629623</v>
      </c>
      <c r="N161" s="73">
        <f t="shared" ca="1" si="35"/>
        <v>0.66032669859726267</v>
      </c>
    </row>
    <row r="162" spans="4:14" s="64" customFormat="1" outlineLevel="1" x14ac:dyDescent="0.2">
      <c r="E162" s="76"/>
      <c r="G162" s="37"/>
      <c r="H162" s="37"/>
      <c r="I162" s="37"/>
      <c r="J162" s="37"/>
      <c r="K162" s="37"/>
      <c r="L162" s="37"/>
      <c r="M162" s="37"/>
      <c r="N162" s="37"/>
    </row>
    <row r="163" spans="4:14" s="64" customFormat="1" outlineLevel="1" x14ac:dyDescent="0.2">
      <c r="E163" s="77" t="s">
        <v>129</v>
      </c>
      <c r="G163" s="37" t="str">
        <f>Currency</f>
        <v>$'000</v>
      </c>
      <c r="J163" s="80">
        <f ca="1">SUM(J160:J161)</f>
        <v>29.64</v>
      </c>
      <c r="K163" s="80">
        <f t="shared" ref="K163:N163" ca="1" si="36">SUM(K160:K161)</f>
        <v>32.591306666666668</v>
      </c>
      <c r="L163" s="80">
        <f t="shared" ca="1" si="36"/>
        <v>30.114185528888889</v>
      </c>
      <c r="M163" s="80">
        <f t="shared" ca="1" si="36"/>
        <v>26.588399064936297</v>
      </c>
      <c r="N163" s="80">
        <f t="shared" ca="1" si="36"/>
        <v>31.660326698597263</v>
      </c>
    </row>
    <row r="164" spans="4:14" outlineLevel="1" x14ac:dyDescent="0.2"/>
    <row r="165" spans="4:14" ht="12.75" outlineLevel="1" thickBot="1" x14ac:dyDescent="0.25">
      <c r="E165" s="66" t="str">
        <f>E137&amp;" for CFADS"</f>
        <v>Tax (Expense) / Credit for CFADS</v>
      </c>
      <c r="G165" s="37" t="str">
        <f>Currency</f>
        <v>$'000</v>
      </c>
      <c r="H165" s="64"/>
      <c r="I165" s="64"/>
      <c r="J165" s="84">
        <f ca="1">-J163*$I$158</f>
        <v>-8.8919999999999995</v>
      </c>
      <c r="K165" s="84">
        <f t="shared" ref="K165:N165" ca="1" si="37">-K163*$I$158</f>
        <v>-9.7773920000000007</v>
      </c>
      <c r="L165" s="84">
        <f t="shared" ca="1" si="37"/>
        <v>-9.034255658666666</v>
      </c>
      <c r="M165" s="84">
        <f t="shared" ca="1" si="37"/>
        <v>-7.9765197194808888</v>
      </c>
      <c r="N165" s="84">
        <f t="shared" ca="1" si="37"/>
        <v>-9.4980980095791789</v>
      </c>
    </row>
    <row r="166" spans="4:14" ht="12.75" outlineLevel="1" thickTop="1" x14ac:dyDescent="0.2"/>
    <row r="167" spans="4:14" outlineLevel="1" x14ac:dyDescent="0.2"/>
    <row r="168" spans="4:14" ht="15" outlineLevel="1" x14ac:dyDescent="0.25">
      <c r="D168" s="5" t="str">
        <f>E165</f>
        <v>Tax (Expense) / Credit for CFADS</v>
      </c>
    </row>
    <row r="169" spans="4:14" outlineLevel="1" x14ac:dyDescent="0.2"/>
    <row r="170" spans="4:14" outlineLevel="1" x14ac:dyDescent="0.2">
      <c r="E170" t="str">
        <f>E144</f>
        <v>Opening Balance</v>
      </c>
      <c r="G170" s="37" t="str">
        <f t="shared" ref="G170:G175" si="38">Currency</f>
        <v>$'000</v>
      </c>
      <c r="J170" s="69">
        <f>I175</f>
        <v>0</v>
      </c>
      <c r="K170" s="69">
        <f t="shared" ref="K170:N170" ca="1" si="39">J175</f>
        <v>0</v>
      </c>
      <c r="L170" s="69">
        <f t="shared" ca="1" si="39"/>
        <v>0</v>
      </c>
      <c r="M170" s="69">
        <f t="shared" ca="1" si="39"/>
        <v>0</v>
      </c>
      <c r="N170" s="69">
        <f t="shared" ca="1" si="39"/>
        <v>0</v>
      </c>
    </row>
    <row r="171" spans="4:14" outlineLevel="1" x14ac:dyDescent="0.2">
      <c r="E171" s="64" t="str">
        <f>E145&amp;" for CFADS"</f>
        <v>Tax Expense / (Credit) for CFADS</v>
      </c>
      <c r="G171" s="37" t="str">
        <f t="shared" si="38"/>
        <v>$'000</v>
      </c>
      <c r="H171" s="35">
        <f>ROW(I165)</f>
        <v>165</v>
      </c>
      <c r="J171" s="69">
        <f ca="1">-J165</f>
        <v>8.8919999999999995</v>
      </c>
      <c r="K171" s="69">
        <f t="shared" ref="K171:N171" ca="1" si="40">-K165</f>
        <v>9.7773920000000007</v>
      </c>
      <c r="L171" s="69">
        <f t="shared" ca="1" si="40"/>
        <v>9.034255658666666</v>
      </c>
      <c r="M171" s="69">
        <f t="shared" ca="1" si="40"/>
        <v>7.9765197194808888</v>
      </c>
      <c r="N171" s="69">
        <f t="shared" ca="1" si="40"/>
        <v>9.4980980095791789</v>
      </c>
    </row>
    <row r="172" spans="4:14" outlineLevel="1" x14ac:dyDescent="0.2">
      <c r="E172" s="64" t="str">
        <f>E146&amp;" for CFADS"</f>
        <v>Tax Paid for CFADS</v>
      </c>
      <c r="G172" s="37" t="str">
        <f t="shared" si="38"/>
        <v>$'000</v>
      </c>
      <c r="J172" s="69">
        <f ca="1">-MAX(SUM(J170:J171),)</f>
        <v>-8.8919999999999995</v>
      </c>
      <c r="K172" s="69">
        <f t="shared" ref="K172:N172" ca="1" si="41">-MAX(SUM(K170:K171),)</f>
        <v>-9.7773920000000007</v>
      </c>
      <c r="L172" s="69">
        <f t="shared" ca="1" si="41"/>
        <v>-9.034255658666666</v>
      </c>
      <c r="M172" s="69">
        <f t="shared" ca="1" si="41"/>
        <v>-7.9765197194808888</v>
      </c>
      <c r="N172" s="69">
        <f t="shared" ca="1" si="41"/>
        <v>-9.4980980095791789</v>
      </c>
    </row>
    <row r="173" spans="4:14" outlineLevel="1" x14ac:dyDescent="0.2">
      <c r="E173" s="64" t="str">
        <f>E145&amp;" (balance)"</f>
        <v>Tax Expense / (Credit) (balance)</v>
      </c>
      <c r="G173" s="37" t="str">
        <f t="shared" si="38"/>
        <v>$'000</v>
      </c>
      <c r="H173" s="35">
        <f>ROW(I145)</f>
        <v>145</v>
      </c>
      <c r="J173" s="69">
        <f ca="1">J145-J171</f>
        <v>-1.4399999999999995</v>
      </c>
      <c r="K173" s="69">
        <f t="shared" ref="K173:N173" ca="1" si="42">K145-K171</f>
        <v>-0.56150400000000111</v>
      </c>
      <c r="L173" s="69">
        <f t="shared" ca="1" si="42"/>
        <v>-0.31132019199999839</v>
      </c>
      <c r="M173" s="69">
        <f t="shared" ca="1" si="42"/>
        <v>-8.6436481621333883E-2</v>
      </c>
      <c r="N173" s="69">
        <f t="shared" ca="1" si="42"/>
        <v>0</v>
      </c>
    </row>
    <row r="174" spans="4:14" outlineLevel="1" x14ac:dyDescent="0.2">
      <c r="E174" s="64" t="str">
        <f>E146&amp;" (balance)"</f>
        <v>Tax Paid (balance)</v>
      </c>
      <c r="G174" s="37" t="str">
        <f t="shared" si="38"/>
        <v>$'000</v>
      </c>
      <c r="H174" s="35">
        <f>ROW(I147)</f>
        <v>147</v>
      </c>
      <c r="J174" s="69">
        <f ca="1">J147-SUM(J170:J173)</f>
        <v>1.4399999999999995</v>
      </c>
      <c r="K174" s="69">
        <f t="shared" ref="K174:N174" ca="1" si="43">K147-SUM(K170:K173)</f>
        <v>0.56150400000000111</v>
      </c>
      <c r="L174" s="69">
        <f t="shared" ca="1" si="43"/>
        <v>0.31132019199999839</v>
      </c>
      <c r="M174" s="69">
        <f t="shared" ca="1" si="43"/>
        <v>8.6436481621333883E-2</v>
      </c>
      <c r="N174" s="69">
        <f t="shared" ca="1" si="43"/>
        <v>0</v>
      </c>
    </row>
    <row r="175" spans="4:14" outlineLevel="1" x14ac:dyDescent="0.2">
      <c r="E175" t="s">
        <v>128</v>
      </c>
      <c r="G175" s="37" t="str">
        <f t="shared" si="38"/>
        <v>$'000</v>
      </c>
      <c r="I175" s="28"/>
      <c r="J175" s="86">
        <f ca="1">SUM(J170:J174)</f>
        <v>0</v>
      </c>
      <c r="K175" s="80">
        <f t="shared" ref="K175:N175" ca="1" si="44">SUM(K170:K174)</f>
        <v>0</v>
      </c>
      <c r="L175" s="80">
        <f t="shared" ca="1" si="44"/>
        <v>0</v>
      </c>
      <c r="M175" s="80">
        <f t="shared" ca="1" si="44"/>
        <v>0</v>
      </c>
      <c r="N175" s="80">
        <f t="shared" ca="1" si="44"/>
        <v>0</v>
      </c>
    </row>
    <row r="176" spans="4:14" outlineLevel="1" x14ac:dyDescent="0.2"/>
    <row r="177" spans="2:15" ht="12.75" outlineLevel="1" thickBot="1" x14ac:dyDescent="0.25">
      <c r="E177" s="77" t="str">
        <f>C152</f>
        <v>Tax Paid for CFADS (DSCR)</v>
      </c>
      <c r="G177" s="37" t="str">
        <f>Currency</f>
        <v>$'000</v>
      </c>
      <c r="H177" s="35">
        <f>ROW(I172)</f>
        <v>172</v>
      </c>
      <c r="I177" s="64"/>
      <c r="J177" s="84">
        <f ca="1">-J172</f>
        <v>8.8919999999999995</v>
      </c>
      <c r="K177" s="84">
        <f t="shared" ref="K177:N177" ca="1" si="45">-K172</f>
        <v>9.7773920000000007</v>
      </c>
      <c r="L177" s="84">
        <f t="shared" ca="1" si="45"/>
        <v>9.034255658666666</v>
      </c>
      <c r="M177" s="84">
        <f t="shared" ca="1" si="45"/>
        <v>7.9765197194808888</v>
      </c>
      <c r="N177" s="84">
        <f t="shared" ca="1" si="45"/>
        <v>9.4980980095791789</v>
      </c>
    </row>
    <row r="178" spans="2:15" ht="12.75" outlineLevel="1" thickTop="1" x14ac:dyDescent="0.2"/>
    <row r="179" spans="2:15" outlineLevel="1" x14ac:dyDescent="0.2"/>
    <row r="180" spans="2:15" s="97" customFormat="1" ht="16.5" thickBot="1" x14ac:dyDescent="0.3">
      <c r="B180" s="52">
        <f>MAX($B$10:$B179)+1</f>
        <v>6</v>
      </c>
      <c r="C180" s="46" t="s">
        <v>173</v>
      </c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2:15" s="97" customFormat="1" ht="12.75" outlineLevel="1" thickTop="1" x14ac:dyDescent="0.2"/>
    <row r="182" spans="2:15" s="97" customFormat="1" ht="16.5" outlineLevel="1" x14ac:dyDescent="0.25">
      <c r="C182" s="65" t="str">
        <f>C180</f>
        <v>Tax Paid for CFADS (PLCR and LLCR)</v>
      </c>
    </row>
    <row r="183" spans="2:15" s="97" customFormat="1" outlineLevel="1" x14ac:dyDescent="0.2"/>
    <row r="184" spans="2:15" s="97" customFormat="1" ht="15" outlineLevel="1" x14ac:dyDescent="0.25">
      <c r="D184" s="5" t="s">
        <v>112</v>
      </c>
    </row>
    <row r="185" spans="2:15" s="97" customFormat="1" outlineLevel="1" x14ac:dyDescent="0.2"/>
    <row r="186" spans="2:15" s="97" customFormat="1" outlineLevel="1" x14ac:dyDescent="0.2">
      <c r="E186" s="97" t="str">
        <f>E118</f>
        <v>Tax Rate</v>
      </c>
      <c r="G186" s="37" t="s">
        <v>111</v>
      </c>
      <c r="H186" s="35">
        <f>ROW(I118)</f>
        <v>118</v>
      </c>
      <c r="I186" s="85">
        <f>H118</f>
        <v>0.3</v>
      </c>
    </row>
    <row r="187" spans="2:15" s="97" customFormat="1" outlineLevel="1" x14ac:dyDescent="0.2"/>
    <row r="188" spans="2:15" s="97" customFormat="1" outlineLevel="1" x14ac:dyDescent="0.2">
      <c r="E188" s="66" t="str">
        <f>E130</f>
        <v>Earnings Before Interest and Tax</v>
      </c>
      <c r="G188" s="37" t="str">
        <f>Currency</f>
        <v>$'000</v>
      </c>
      <c r="H188" s="35">
        <f>ROW(I130)</f>
        <v>130</v>
      </c>
      <c r="J188" s="83">
        <f ca="1">J130</f>
        <v>29.5</v>
      </c>
      <c r="K188" s="83">
        <f t="shared" ref="K188:N188" ca="1" si="46">K130</f>
        <v>31</v>
      </c>
      <c r="L188" s="83">
        <f t="shared" ca="1" si="46"/>
        <v>29.25</v>
      </c>
      <c r="M188" s="83">
        <f t="shared" ca="1" si="46"/>
        <v>26</v>
      </c>
      <c r="N188" s="83">
        <f t="shared" ca="1" si="46"/>
        <v>31</v>
      </c>
    </row>
    <row r="189" spans="2:15" s="97" customFormat="1" outlineLevel="1" x14ac:dyDescent="0.2">
      <c r="E189" s="76" t="str">
        <f>E132</f>
        <v>Interest Received</v>
      </c>
      <c r="G189" s="37" t="str">
        <f>Currency</f>
        <v>$'000</v>
      </c>
      <c r="J189" s="28"/>
      <c r="K189" s="28"/>
      <c r="L189" s="28"/>
      <c r="M189" s="28"/>
      <c r="N189" s="28"/>
    </row>
    <row r="190" spans="2:15" s="97" customFormat="1" outlineLevel="1" x14ac:dyDescent="0.2">
      <c r="E190" s="76"/>
      <c r="G190" s="37"/>
      <c r="H190" s="37"/>
      <c r="I190" s="37"/>
      <c r="J190" s="37"/>
      <c r="K190" s="37"/>
      <c r="L190" s="37"/>
      <c r="M190" s="37"/>
      <c r="N190" s="37"/>
    </row>
    <row r="191" spans="2:15" s="97" customFormat="1" outlineLevel="1" x14ac:dyDescent="0.2">
      <c r="E191" s="77" t="s">
        <v>129</v>
      </c>
      <c r="G191" s="37" t="str">
        <f>Currency</f>
        <v>$'000</v>
      </c>
      <c r="J191" s="80">
        <f ca="1">SUM(J188:J189)</f>
        <v>29.5</v>
      </c>
      <c r="K191" s="80">
        <f t="shared" ref="K191:N191" ca="1" si="47">SUM(K188:K189)</f>
        <v>31</v>
      </c>
      <c r="L191" s="80">
        <f t="shared" ca="1" si="47"/>
        <v>29.25</v>
      </c>
      <c r="M191" s="80">
        <f t="shared" ca="1" si="47"/>
        <v>26</v>
      </c>
      <c r="N191" s="80">
        <f t="shared" ca="1" si="47"/>
        <v>31</v>
      </c>
    </row>
    <row r="192" spans="2:15" s="97" customFormat="1" outlineLevel="1" x14ac:dyDescent="0.2"/>
    <row r="193" spans="2:15" s="97" customFormat="1" ht="12.75" outlineLevel="1" thickBot="1" x14ac:dyDescent="0.25">
      <c r="E193" s="66" t="str">
        <f>E165&amp;" for CFADS"</f>
        <v>Tax (Expense) / Credit for CFADS for CFADS</v>
      </c>
      <c r="G193" s="37" t="str">
        <f>Currency</f>
        <v>$'000</v>
      </c>
      <c r="J193" s="84">
        <f ca="1">-J191*$I$158</f>
        <v>-8.85</v>
      </c>
      <c r="K193" s="84">
        <f t="shared" ref="K193:N193" ca="1" si="48">-K191*$I$158</f>
        <v>-9.2999999999999989</v>
      </c>
      <c r="L193" s="84">
        <f t="shared" ca="1" si="48"/>
        <v>-8.7750000000000004</v>
      </c>
      <c r="M193" s="84">
        <f t="shared" ca="1" si="48"/>
        <v>-7.8</v>
      </c>
      <c r="N193" s="84">
        <f t="shared" ca="1" si="48"/>
        <v>-9.2999999999999989</v>
      </c>
    </row>
    <row r="194" spans="2:15" s="97" customFormat="1" ht="12.75" outlineLevel="1" thickTop="1" x14ac:dyDescent="0.2"/>
    <row r="195" spans="2:15" s="97" customFormat="1" outlineLevel="1" x14ac:dyDescent="0.2"/>
    <row r="196" spans="2:15" s="97" customFormat="1" ht="15" outlineLevel="1" x14ac:dyDescent="0.25">
      <c r="D196" s="5" t="str">
        <f>E193</f>
        <v>Tax (Expense) / Credit for CFADS for CFADS</v>
      </c>
    </row>
    <row r="197" spans="2:15" s="97" customFormat="1" outlineLevel="1" x14ac:dyDescent="0.2"/>
    <row r="198" spans="2:15" s="97" customFormat="1" outlineLevel="1" x14ac:dyDescent="0.2">
      <c r="E198" s="97" t="str">
        <f>E172</f>
        <v>Tax Paid for CFADS</v>
      </c>
      <c r="G198" s="37" t="str">
        <f t="shared" ref="G198:G203" si="49">Currency</f>
        <v>$'000</v>
      </c>
      <c r="J198" s="69">
        <f>I203</f>
        <v>0</v>
      </c>
      <c r="K198" s="69">
        <f t="shared" ref="K198" ca="1" si="50">J203</f>
        <v>0</v>
      </c>
      <c r="L198" s="69">
        <f t="shared" ref="L198" ca="1" si="51">K203</f>
        <v>0</v>
      </c>
      <c r="M198" s="69">
        <f t="shared" ref="M198" ca="1" si="52">L203</f>
        <v>0</v>
      </c>
      <c r="N198" s="69">
        <f t="shared" ref="N198" ca="1" si="53">M203</f>
        <v>0</v>
      </c>
    </row>
    <row r="199" spans="2:15" s="97" customFormat="1" outlineLevel="1" x14ac:dyDescent="0.2">
      <c r="E199" s="97" t="str">
        <f>E173&amp;" for CFADS"</f>
        <v>Tax Expense / (Credit) (balance) for CFADS</v>
      </c>
      <c r="G199" s="37" t="str">
        <f t="shared" si="49"/>
        <v>$'000</v>
      </c>
      <c r="H199" s="35">
        <f>ROW(I193)</f>
        <v>193</v>
      </c>
      <c r="J199" s="69">
        <f ca="1">-J193</f>
        <v>8.85</v>
      </c>
      <c r="K199" s="69">
        <f t="shared" ref="K199:N199" ca="1" si="54">-K193</f>
        <v>9.2999999999999989</v>
      </c>
      <c r="L199" s="69">
        <f t="shared" ca="1" si="54"/>
        <v>8.7750000000000004</v>
      </c>
      <c r="M199" s="69">
        <f t="shared" ca="1" si="54"/>
        <v>7.8</v>
      </c>
      <c r="N199" s="69">
        <f t="shared" ca="1" si="54"/>
        <v>9.2999999999999989</v>
      </c>
    </row>
    <row r="200" spans="2:15" s="97" customFormat="1" outlineLevel="1" x14ac:dyDescent="0.2">
      <c r="E200" s="97" t="str">
        <f>E174&amp;" for CFADS"</f>
        <v>Tax Paid (balance) for CFADS</v>
      </c>
      <c r="G200" s="37" t="str">
        <f t="shared" si="49"/>
        <v>$'000</v>
      </c>
      <c r="J200" s="69">
        <f ca="1">-MAX(SUM(J198:J199),)</f>
        <v>-8.85</v>
      </c>
      <c r="K200" s="69">
        <f t="shared" ref="K200:N200" ca="1" si="55">-MAX(SUM(K198:K199),)</f>
        <v>-9.2999999999999989</v>
      </c>
      <c r="L200" s="69">
        <f t="shared" ca="1" si="55"/>
        <v>-8.7750000000000004</v>
      </c>
      <c r="M200" s="69">
        <f t="shared" ca="1" si="55"/>
        <v>-7.8</v>
      </c>
      <c r="N200" s="69">
        <f t="shared" ca="1" si="55"/>
        <v>-9.2999999999999989</v>
      </c>
    </row>
    <row r="201" spans="2:15" s="97" customFormat="1" outlineLevel="1" x14ac:dyDescent="0.2">
      <c r="E201" s="97" t="str">
        <f>E173&amp;" (balance)"</f>
        <v>Tax Expense / (Credit) (balance) (balance)</v>
      </c>
      <c r="G201" s="37" t="str">
        <f t="shared" si="49"/>
        <v>$'000</v>
      </c>
      <c r="J201" s="28"/>
      <c r="K201" s="28"/>
      <c r="L201" s="28"/>
      <c r="M201" s="28"/>
      <c r="N201" s="28"/>
    </row>
    <row r="202" spans="2:15" s="97" customFormat="1" outlineLevel="1" x14ac:dyDescent="0.2">
      <c r="E202" s="97" t="str">
        <f>E174&amp;" (balance)"</f>
        <v>Tax Paid (balance) (balance)</v>
      </c>
      <c r="G202" s="37" t="str">
        <f t="shared" si="49"/>
        <v>$'000</v>
      </c>
      <c r="J202" s="28"/>
      <c r="K202" s="28"/>
      <c r="L202" s="28"/>
      <c r="M202" s="28"/>
      <c r="N202" s="28"/>
    </row>
    <row r="203" spans="2:15" s="97" customFormat="1" outlineLevel="1" x14ac:dyDescent="0.2">
      <c r="E203" s="97" t="s">
        <v>128</v>
      </c>
      <c r="G203" s="37" t="str">
        <f t="shared" si="49"/>
        <v>$'000</v>
      </c>
      <c r="I203" s="28"/>
      <c r="J203" s="86">
        <f ca="1">SUM(J198:J202)</f>
        <v>0</v>
      </c>
      <c r="K203" s="80">
        <f t="shared" ref="K203:N203" ca="1" si="56">SUM(K198:K202)</f>
        <v>0</v>
      </c>
      <c r="L203" s="80">
        <f t="shared" ca="1" si="56"/>
        <v>0</v>
      </c>
      <c r="M203" s="80">
        <f t="shared" ca="1" si="56"/>
        <v>0</v>
      </c>
      <c r="N203" s="80">
        <f t="shared" ca="1" si="56"/>
        <v>0</v>
      </c>
    </row>
    <row r="204" spans="2:15" s="97" customFormat="1" outlineLevel="1" x14ac:dyDescent="0.2"/>
    <row r="205" spans="2:15" s="97" customFormat="1" ht="12.75" outlineLevel="1" thickBot="1" x14ac:dyDescent="0.25">
      <c r="E205" s="77" t="str">
        <f>C180</f>
        <v>Tax Paid for CFADS (PLCR and LLCR)</v>
      </c>
      <c r="G205" s="37" t="str">
        <f>Currency</f>
        <v>$'000</v>
      </c>
      <c r="H205" s="35">
        <f>ROW(I200)</f>
        <v>200</v>
      </c>
      <c r="J205" s="84">
        <f ca="1">-J200</f>
        <v>8.85</v>
      </c>
      <c r="K205" s="84">
        <f t="shared" ref="K205:N205" ca="1" si="57">-K200</f>
        <v>9.2999999999999989</v>
      </c>
      <c r="L205" s="84">
        <f t="shared" ca="1" si="57"/>
        <v>8.7750000000000004</v>
      </c>
      <c r="M205" s="84">
        <f t="shared" ca="1" si="57"/>
        <v>7.8</v>
      </c>
      <c r="N205" s="84">
        <f t="shared" ca="1" si="57"/>
        <v>9.2999999999999989</v>
      </c>
    </row>
    <row r="206" spans="2:15" s="97" customFormat="1" ht="12.75" outlineLevel="1" thickTop="1" x14ac:dyDescent="0.2"/>
    <row r="207" spans="2:15" s="97" customFormat="1" outlineLevel="1" x14ac:dyDescent="0.2"/>
    <row r="208" spans="2:15" s="64" customFormat="1" ht="16.5" thickBot="1" x14ac:dyDescent="0.3">
      <c r="B208" s="52">
        <f>MAX($B$10:$B207)+1</f>
        <v>7</v>
      </c>
      <c r="C208" s="46" t="s">
        <v>130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3:14" s="64" customFormat="1" ht="12.75" outlineLevel="1" thickTop="1" x14ac:dyDescent="0.2"/>
    <row r="210" spans="3:14" s="64" customFormat="1" ht="16.5" outlineLevel="1" x14ac:dyDescent="0.25">
      <c r="C210" s="65" t="str">
        <f>C208</f>
        <v>Cash Flow Available for Debt Servicing (CFADS)</v>
      </c>
    </row>
    <row r="211" spans="3:14" s="64" customFormat="1" outlineLevel="1" x14ac:dyDescent="0.2"/>
    <row r="212" spans="3:14" s="64" customFormat="1" ht="15" outlineLevel="1" x14ac:dyDescent="0.25">
      <c r="D212" s="5" t="s">
        <v>68</v>
      </c>
    </row>
    <row r="213" spans="3:14" s="64" customFormat="1" outlineLevel="1" x14ac:dyDescent="0.2"/>
    <row r="214" spans="3:14" s="64" customFormat="1" outlineLevel="1" x14ac:dyDescent="0.2">
      <c r="E214" s="23" t="s">
        <v>136</v>
      </c>
    </row>
    <row r="215" spans="3:14" s="64" customFormat="1" outlineLevel="1" x14ac:dyDescent="0.2"/>
    <row r="216" spans="3:14" s="64" customFormat="1" outlineLevel="1" x14ac:dyDescent="0.2"/>
    <row r="217" spans="3:14" s="64" customFormat="1" ht="15" outlineLevel="1" x14ac:dyDescent="0.25">
      <c r="D217" s="5" t="s">
        <v>112</v>
      </c>
    </row>
    <row r="218" spans="3:14" outlineLevel="1" x14ac:dyDescent="0.2"/>
    <row r="219" spans="3:14" outlineLevel="1" x14ac:dyDescent="0.2">
      <c r="E219" s="66" t="str">
        <f>E17</f>
        <v>Operating Activities</v>
      </c>
    </row>
    <row r="220" spans="3:14" outlineLevel="1" x14ac:dyDescent="0.2"/>
    <row r="221" spans="3:14" outlineLevel="1" x14ac:dyDescent="0.2">
      <c r="F221" t="str">
        <f>F19</f>
        <v>Cash Receipts</v>
      </c>
      <c r="G221" s="37" t="str">
        <f>Currency</f>
        <v>$'000</v>
      </c>
      <c r="H221" s="35">
        <f>ROW(I19)</f>
        <v>19</v>
      </c>
      <c r="J221" s="69">
        <f t="shared" ref="J221:N222" si="58">J19</f>
        <v>80</v>
      </c>
      <c r="K221" s="69">
        <f t="shared" si="58"/>
        <v>90</v>
      </c>
      <c r="L221" s="69">
        <f t="shared" si="58"/>
        <v>100</v>
      </c>
      <c r="M221" s="69">
        <f t="shared" si="58"/>
        <v>110</v>
      </c>
      <c r="N221" s="69">
        <f t="shared" si="58"/>
        <v>120</v>
      </c>
    </row>
    <row r="222" spans="3:14" outlineLevel="1" x14ac:dyDescent="0.2">
      <c r="F222" s="64" t="str">
        <f>F20</f>
        <v>Cash Payments</v>
      </c>
      <c r="G222" s="37" t="str">
        <f>Currency</f>
        <v>$'000</v>
      </c>
      <c r="H222" s="35">
        <f>ROW(I20)</f>
        <v>20</v>
      </c>
      <c r="J222" s="69">
        <f t="shared" si="58"/>
        <v>-43</v>
      </c>
      <c r="K222" s="69">
        <f t="shared" si="58"/>
        <v>-49</v>
      </c>
      <c r="L222" s="69">
        <f t="shared" si="58"/>
        <v>-57</v>
      </c>
      <c r="M222" s="69">
        <f t="shared" si="58"/>
        <v>-64</v>
      </c>
      <c r="N222" s="69">
        <f t="shared" si="58"/>
        <v>-69</v>
      </c>
    </row>
    <row r="223" spans="3:14" outlineLevel="1" x14ac:dyDescent="0.2">
      <c r="F223" s="64" t="str">
        <f>F22</f>
        <v>Tax Paid</v>
      </c>
      <c r="G223" s="37" t="str">
        <f>Currency</f>
        <v>$'000</v>
      </c>
      <c r="H223" s="35">
        <f>ROW(I177)</f>
        <v>177</v>
      </c>
      <c r="J223" s="69">
        <f ca="1">-IF(OR($H$490=$E$497,$H$490=""),J177,J205)</f>
        <v>-8.8919999999999995</v>
      </c>
      <c r="K223" s="69">
        <f ca="1">-IF(OR($H$490=$E$497,$H$490=""),K177,K205)</f>
        <v>-9.7773920000000007</v>
      </c>
      <c r="L223" s="69">
        <f ca="1">-IF(OR($H$490=$E$497,$H$490=""),L177,L205)</f>
        <v>-9.034255658666666</v>
      </c>
      <c r="M223" s="69">
        <f ca="1">-IF(OR($H$490=$E$497,$H$490=""),M177,M205)</f>
        <v>-7.9765197194808888</v>
      </c>
      <c r="N223" s="69">
        <f ca="1">-IF(OR($H$490=$E$497,$H$490=""),N177,N205)</f>
        <v>-9.4980980095791789</v>
      </c>
    </row>
    <row r="224" spans="3:14" outlineLevel="1" x14ac:dyDescent="0.2"/>
    <row r="225" spans="5:14" outlineLevel="1" x14ac:dyDescent="0.2">
      <c r="F225" s="66" t="str">
        <f>F24</f>
        <v>Net Cashflows from Operating Activities</v>
      </c>
      <c r="G225" s="37" t="str">
        <f>Currency</f>
        <v>$'000</v>
      </c>
      <c r="J225" s="80">
        <f ca="1">SUM(J221:J223)</f>
        <v>28.108000000000001</v>
      </c>
      <c r="K225" s="80">
        <f t="shared" ref="K225:N225" ca="1" si="59">SUM(K221:K223)</f>
        <v>31.222608000000001</v>
      </c>
      <c r="L225" s="80">
        <f t="shared" ca="1" si="59"/>
        <v>33.965744341333334</v>
      </c>
      <c r="M225" s="80">
        <f t="shared" ca="1" si="59"/>
        <v>38.023480280519109</v>
      </c>
      <c r="N225" s="80">
        <f t="shared" ca="1" si="59"/>
        <v>41.501901990420819</v>
      </c>
    </row>
    <row r="226" spans="5:14" outlineLevel="1" x14ac:dyDescent="0.2"/>
    <row r="227" spans="5:14" outlineLevel="1" x14ac:dyDescent="0.2"/>
    <row r="228" spans="5:14" outlineLevel="1" x14ac:dyDescent="0.2">
      <c r="E228" s="66" t="str">
        <f>E27</f>
        <v>Investing Activities</v>
      </c>
    </row>
    <row r="229" spans="5:14" outlineLevel="1" x14ac:dyDescent="0.2"/>
    <row r="230" spans="5:14" outlineLevel="1" x14ac:dyDescent="0.2">
      <c r="F230" s="64" t="str">
        <f>F29</f>
        <v>Interest Received</v>
      </c>
      <c r="G230" s="37" t="str">
        <f>Currency</f>
        <v>$'000</v>
      </c>
      <c r="H230" s="35">
        <f>ROW(I29)</f>
        <v>29</v>
      </c>
      <c r="I230" s="64"/>
      <c r="J230" s="69">
        <f>IF(OR($H$490=$E$497,$H$490=""),J29,)</f>
        <v>0.14000000000000001</v>
      </c>
      <c r="K230" s="69">
        <f ca="1">IF(OR($H$490=$E$497,$H$490=""),K29,)</f>
        <v>1.5913066666666669</v>
      </c>
      <c r="L230" s="69">
        <f ca="1">IF(OR($H$490=$E$497,$H$490=""),L29,)</f>
        <v>0.864185528888889</v>
      </c>
      <c r="M230" s="69">
        <f ca="1">IF(OR($H$490=$E$497,$H$490=""),M29,)</f>
        <v>0.58839906493629623</v>
      </c>
      <c r="N230" s="69">
        <f ca="1">IF(OR($H$490=$E$497,$H$490=""),N29,)</f>
        <v>0.66032669859726267</v>
      </c>
    </row>
    <row r="231" spans="5:14" outlineLevel="1" x14ac:dyDescent="0.2">
      <c r="F231" s="64" t="str">
        <f>F30</f>
        <v>Net Capital Expenditure</v>
      </c>
      <c r="G231" s="37" t="str">
        <f>Currency</f>
        <v>$'000</v>
      </c>
      <c r="H231" s="35">
        <f>ROW(I30)</f>
        <v>30</v>
      </c>
      <c r="I231" s="64"/>
      <c r="J231" s="69">
        <f>J30</f>
        <v>-30</v>
      </c>
      <c r="K231" s="69">
        <f>K30</f>
        <v>-10</v>
      </c>
      <c r="L231" s="69">
        <f>L30</f>
        <v>-15</v>
      </c>
      <c r="M231" s="69">
        <f>M30</f>
        <v>-25</v>
      </c>
      <c r="N231" s="69">
        <f>N30</f>
        <v>-30</v>
      </c>
    </row>
    <row r="232" spans="5:14" outlineLevel="1" x14ac:dyDescent="0.2">
      <c r="F232" s="64"/>
      <c r="G232" s="64"/>
      <c r="H232" s="64"/>
      <c r="I232" s="64"/>
      <c r="J232" s="64"/>
      <c r="K232" s="64"/>
      <c r="L232" s="64"/>
      <c r="M232" s="64"/>
      <c r="N232" s="64"/>
    </row>
    <row r="233" spans="5:14" outlineLevel="1" x14ac:dyDescent="0.2">
      <c r="F233" s="66" t="str">
        <f>F32</f>
        <v>Net Cashflows from Investing Activities</v>
      </c>
      <c r="G233" s="37" t="str">
        <f>Currency</f>
        <v>$'000</v>
      </c>
      <c r="H233" s="64"/>
      <c r="I233" s="64"/>
      <c r="J233" s="80">
        <f>SUM(J230:J231)</f>
        <v>-29.86</v>
      </c>
      <c r="K233" s="80">
        <f t="shared" ref="K233:N233" ca="1" si="60">SUM(K230:K231)</f>
        <v>-8.4086933333333338</v>
      </c>
      <c r="L233" s="80">
        <f t="shared" ca="1" si="60"/>
        <v>-14.135814471111111</v>
      </c>
      <c r="M233" s="80">
        <f t="shared" ca="1" si="60"/>
        <v>-24.411600935063703</v>
      </c>
      <c r="N233" s="80">
        <f t="shared" ca="1" si="60"/>
        <v>-29.339673301402737</v>
      </c>
    </row>
    <row r="234" spans="5:14" outlineLevel="1" x14ac:dyDescent="0.2"/>
    <row r="235" spans="5:14" outlineLevel="1" x14ac:dyDescent="0.2"/>
    <row r="236" spans="5:14" outlineLevel="1" x14ac:dyDescent="0.2">
      <c r="E236" s="66" t="str">
        <f>E35</f>
        <v>Financing Activities</v>
      </c>
    </row>
    <row r="237" spans="5:14" outlineLevel="1" x14ac:dyDescent="0.2"/>
    <row r="238" spans="5:14" outlineLevel="1" x14ac:dyDescent="0.2">
      <c r="F238" s="64" t="str">
        <f>F37</f>
        <v>Debt Drawdowns</v>
      </c>
      <c r="G238" s="37" t="str">
        <f>Currency</f>
        <v>$'000</v>
      </c>
      <c r="H238" s="35">
        <f>ROW(I37)</f>
        <v>37</v>
      </c>
      <c r="I238" s="64"/>
      <c r="J238" s="69">
        <f>J37</f>
        <v>80</v>
      </c>
      <c r="K238" s="69">
        <f>K37</f>
        <v>0</v>
      </c>
      <c r="L238" s="69">
        <f>L37</f>
        <v>0</v>
      </c>
      <c r="M238" s="69">
        <f>M37</f>
        <v>0</v>
      </c>
      <c r="N238" s="69">
        <f>N37</f>
        <v>0</v>
      </c>
    </row>
    <row r="239" spans="5:14" outlineLevel="1" x14ac:dyDescent="0.2">
      <c r="F239" s="64" t="str">
        <f>F39</f>
        <v>Equity Issuances</v>
      </c>
      <c r="G239" s="37" t="str">
        <f>Currency</f>
        <v>$'000</v>
      </c>
      <c r="H239" s="35">
        <f>ROW(I39)</f>
        <v>39</v>
      </c>
      <c r="I239" s="87" t="s">
        <v>133</v>
      </c>
      <c r="J239" s="69">
        <f>J39*($I239=Include)</f>
        <v>0</v>
      </c>
      <c r="K239" s="69">
        <f>K39*($I239=Include)</f>
        <v>0</v>
      </c>
      <c r="L239" s="69">
        <f>L39*($I239=Include)</f>
        <v>0</v>
      </c>
      <c r="M239" s="69">
        <f>M39*($I239=Include)</f>
        <v>0</v>
      </c>
      <c r="N239" s="69">
        <f>N39*($I239=Include)</f>
        <v>0</v>
      </c>
    </row>
    <row r="240" spans="5:14" outlineLevel="1" x14ac:dyDescent="0.2">
      <c r="F240" s="64"/>
      <c r="H240" s="64"/>
      <c r="I240" s="64"/>
      <c r="J240" s="64"/>
      <c r="K240" s="64"/>
      <c r="L240" s="64"/>
      <c r="M240" s="64"/>
      <c r="N240" s="64"/>
    </row>
    <row r="241" spans="2:15" outlineLevel="1" x14ac:dyDescent="0.2">
      <c r="F241" s="66" t="str">
        <f>F43</f>
        <v>Net Cashflows from Financing Activities</v>
      </c>
      <c r="G241" s="37" t="str">
        <f>Currency</f>
        <v>$'000</v>
      </c>
      <c r="H241" s="64"/>
      <c r="I241" s="64"/>
      <c r="J241" s="80">
        <f>SUM(J238:J239)</f>
        <v>80</v>
      </c>
      <c r="K241" s="80">
        <f t="shared" ref="K241:N241" si="61">SUM(K238:K239)</f>
        <v>0</v>
      </c>
      <c r="L241" s="80">
        <f t="shared" si="61"/>
        <v>0</v>
      </c>
      <c r="M241" s="80">
        <f t="shared" si="61"/>
        <v>0</v>
      </c>
      <c r="N241" s="80">
        <f t="shared" si="61"/>
        <v>0</v>
      </c>
    </row>
    <row r="242" spans="2:15" outlineLevel="1" x14ac:dyDescent="0.2"/>
    <row r="243" spans="2:15" outlineLevel="1" x14ac:dyDescent="0.2"/>
    <row r="244" spans="2:15" ht="12.75" outlineLevel="1" thickBot="1" x14ac:dyDescent="0.25">
      <c r="E244" s="77" t="str">
        <f>C208</f>
        <v>Cash Flow Available for Debt Servicing (CFADS)</v>
      </c>
      <c r="G244" s="37" t="str">
        <f>Currency</f>
        <v>$'000</v>
      </c>
      <c r="H244" s="64"/>
      <c r="I244" s="64"/>
      <c r="J244" s="84">
        <f ca="1">J225+J233+J241</f>
        <v>78.248000000000005</v>
      </c>
      <c r="K244" s="84">
        <f t="shared" ref="K244:N244" ca="1" si="62">K225+K233+K241</f>
        <v>22.813914666666669</v>
      </c>
      <c r="L244" s="84">
        <f t="shared" ca="1" si="62"/>
        <v>19.829929870222223</v>
      </c>
      <c r="M244" s="84">
        <f t="shared" ca="1" si="62"/>
        <v>13.611879345455407</v>
      </c>
      <c r="N244" s="84">
        <f t="shared" ca="1" si="62"/>
        <v>12.162228689018082</v>
      </c>
    </row>
    <row r="245" spans="2:15" ht="12.75" outlineLevel="1" thickTop="1" x14ac:dyDescent="0.2"/>
    <row r="246" spans="2:15" outlineLevel="1" x14ac:dyDescent="0.2"/>
    <row r="247" spans="2:15" s="64" customFormat="1" ht="16.5" thickBot="1" x14ac:dyDescent="0.3">
      <c r="B247" s="52">
        <f>MAX($B$10:$B246)+1</f>
        <v>8</v>
      </c>
      <c r="C247" s="46" t="s">
        <v>135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2:15" s="64" customFormat="1" ht="12.75" outlineLevel="1" thickTop="1" x14ac:dyDescent="0.2"/>
    <row r="249" spans="2:15" s="64" customFormat="1" ht="16.5" outlineLevel="1" x14ac:dyDescent="0.25">
      <c r="C249" s="65" t="s">
        <v>68</v>
      </c>
    </row>
    <row r="250" spans="2:15" s="64" customFormat="1" outlineLevel="1" x14ac:dyDescent="0.2"/>
    <row r="251" spans="2:15" s="64" customFormat="1" ht="15" outlineLevel="1" x14ac:dyDescent="0.25">
      <c r="D251" s="5" t="s">
        <v>138</v>
      </c>
    </row>
    <row r="252" spans="2:15" outlineLevel="1" x14ac:dyDescent="0.2"/>
    <row r="253" spans="2:15" outlineLevel="1" x14ac:dyDescent="0.2">
      <c r="E253" s="23" t="s">
        <v>137</v>
      </c>
    </row>
    <row r="254" spans="2:15" outlineLevel="1" x14ac:dyDescent="0.2"/>
    <row r="255" spans="2:15" outlineLevel="1" x14ac:dyDescent="0.2"/>
    <row r="256" spans="2:15" ht="15" outlineLevel="1" x14ac:dyDescent="0.25">
      <c r="D256" s="5" t="s">
        <v>139</v>
      </c>
    </row>
    <row r="257" spans="3:14" outlineLevel="1" x14ac:dyDescent="0.2"/>
    <row r="258" spans="3:14" outlineLevel="1" x14ac:dyDescent="0.2">
      <c r="E258" t="str">
        <f>D256</f>
        <v>Interest Rate</v>
      </c>
      <c r="G258" s="37" t="s">
        <v>111</v>
      </c>
      <c r="H258" s="78">
        <v>0.06</v>
      </c>
      <c r="J258" s="98">
        <f>$H258</f>
        <v>0.06</v>
      </c>
      <c r="K258" s="98">
        <f t="shared" ref="K258:N258" si="63">$H258</f>
        <v>0.06</v>
      </c>
      <c r="L258" s="98">
        <f t="shared" si="63"/>
        <v>0.06</v>
      </c>
      <c r="M258" s="98">
        <f t="shared" si="63"/>
        <v>0.06</v>
      </c>
      <c r="N258" s="98">
        <f t="shared" si="63"/>
        <v>0.06</v>
      </c>
    </row>
    <row r="259" spans="3:14" outlineLevel="1" x14ac:dyDescent="0.2"/>
    <row r="260" spans="3:14" outlineLevel="1" x14ac:dyDescent="0.2"/>
    <row r="261" spans="3:14" ht="15" outlineLevel="1" x14ac:dyDescent="0.25">
      <c r="D261" s="5" t="s">
        <v>140</v>
      </c>
    </row>
    <row r="262" spans="3:14" outlineLevel="1" x14ac:dyDescent="0.2"/>
    <row r="263" spans="3:14" outlineLevel="1" x14ac:dyDescent="0.2">
      <c r="E263" t="s">
        <v>141</v>
      </c>
      <c r="G263" s="37" t="s">
        <v>142</v>
      </c>
      <c r="J263" s="88">
        <v>1.5</v>
      </c>
      <c r="K263" s="88">
        <v>1.5</v>
      </c>
      <c r="L263" s="88">
        <v>1.5</v>
      </c>
      <c r="M263" s="88">
        <v>1.5</v>
      </c>
      <c r="N263" s="88">
        <v>1.5</v>
      </c>
    </row>
    <row r="264" spans="3:14" outlineLevel="1" x14ac:dyDescent="0.2"/>
    <row r="265" spans="3:14" outlineLevel="1" x14ac:dyDescent="0.2"/>
    <row r="266" spans="3:14" ht="16.5" outlineLevel="1" x14ac:dyDescent="0.25">
      <c r="C266" s="65" t="s">
        <v>112</v>
      </c>
    </row>
    <row r="267" spans="3:14" outlineLevel="1" x14ac:dyDescent="0.2"/>
    <row r="268" spans="3:14" s="64" customFormat="1" ht="15" outlineLevel="1" x14ac:dyDescent="0.25">
      <c r="D268" s="5" t="s">
        <v>144</v>
      </c>
    </row>
    <row r="269" spans="3:14" s="64" customFormat="1" outlineLevel="1" x14ac:dyDescent="0.2"/>
    <row r="270" spans="3:14" s="64" customFormat="1" outlineLevel="1" x14ac:dyDescent="0.2">
      <c r="E270" s="64" t="str">
        <f>D268</f>
        <v>Opening Debt Balance</v>
      </c>
      <c r="G270" s="37" t="str">
        <f>Currency</f>
        <v>$'000</v>
      </c>
      <c r="H270" s="35">
        <f>ROW(I37)</f>
        <v>37</v>
      </c>
      <c r="J270" s="73">
        <f>J37</f>
        <v>80</v>
      </c>
      <c r="K270" s="28"/>
      <c r="L270" s="28"/>
      <c r="M270" s="28"/>
      <c r="N270" s="28"/>
    </row>
    <row r="271" spans="3:14" s="64" customFormat="1" outlineLevel="1" x14ac:dyDescent="0.2"/>
    <row r="272" spans="3:14" s="64" customFormat="1" outlineLevel="1" x14ac:dyDescent="0.2"/>
    <row r="273" spans="3:14" ht="15" outlineLevel="1" x14ac:dyDescent="0.25">
      <c r="D273" s="5" t="s">
        <v>143</v>
      </c>
    </row>
    <row r="274" spans="3:14" outlineLevel="1" x14ac:dyDescent="0.2"/>
    <row r="275" spans="3:14" outlineLevel="1" x14ac:dyDescent="0.2">
      <c r="E275" s="76" t="str">
        <f>E244</f>
        <v>Cash Flow Available for Debt Servicing (CFADS)</v>
      </c>
      <c r="G275" s="37" t="str">
        <f>Currency</f>
        <v>$'000</v>
      </c>
      <c r="H275" s="35">
        <f>ROW(I244)</f>
        <v>244</v>
      </c>
      <c r="I275" s="64"/>
      <c r="J275" s="73">
        <f ca="1">J244</f>
        <v>78.248000000000005</v>
      </c>
      <c r="K275" s="73">
        <f t="shared" ref="K275:N275" ca="1" si="64">K244</f>
        <v>22.813914666666669</v>
      </c>
      <c r="L275" s="73">
        <f t="shared" ca="1" si="64"/>
        <v>19.829929870222223</v>
      </c>
      <c r="M275" s="73">
        <f t="shared" ca="1" si="64"/>
        <v>13.611879345455407</v>
      </c>
      <c r="N275" s="73">
        <f t="shared" ca="1" si="64"/>
        <v>12.162228689018082</v>
      </c>
    </row>
    <row r="276" spans="3:14" outlineLevel="1" x14ac:dyDescent="0.2"/>
    <row r="277" spans="3:14" outlineLevel="1" x14ac:dyDescent="0.2">
      <c r="E277" t="str">
        <f>E263</f>
        <v>Target DSCR</v>
      </c>
      <c r="G277" s="37" t="s">
        <v>142</v>
      </c>
      <c r="H277" s="35">
        <f>ROW(I263)</f>
        <v>263</v>
      </c>
      <c r="J277" s="89">
        <f>J263</f>
        <v>1.5</v>
      </c>
      <c r="K277" s="89">
        <f t="shared" ref="K277:N277" si="65">K263</f>
        <v>1.5</v>
      </c>
      <c r="L277" s="89">
        <f t="shared" si="65"/>
        <v>1.5</v>
      </c>
      <c r="M277" s="89">
        <f t="shared" si="65"/>
        <v>1.5</v>
      </c>
      <c r="N277" s="89">
        <f t="shared" si="65"/>
        <v>1.5</v>
      </c>
    </row>
    <row r="278" spans="3:14" outlineLevel="1" x14ac:dyDescent="0.2"/>
    <row r="279" spans="3:14" ht="12.75" outlineLevel="1" thickBot="1" x14ac:dyDescent="0.25">
      <c r="E279" s="66" t="str">
        <f>D273&amp;" (Principal and Interest)"</f>
        <v>Target Debt Service (Principal and Interest)</v>
      </c>
      <c r="G279" s="37" t="str">
        <f>Currency</f>
        <v>$'000</v>
      </c>
      <c r="J279" s="84">
        <f ca="1">MAX(IF(J277,J275/J277,),)</f>
        <v>52.165333333333336</v>
      </c>
      <c r="K279" s="84">
        <f t="shared" ref="K279:N279" ca="1" si="66">MAX(IF(K277,K275/K277,),)</f>
        <v>15.209276444444447</v>
      </c>
      <c r="L279" s="84">
        <f t="shared" ca="1" si="66"/>
        <v>13.219953246814816</v>
      </c>
      <c r="M279" s="84">
        <f t="shared" ca="1" si="66"/>
        <v>9.0745862303036038</v>
      </c>
      <c r="N279" s="84">
        <f t="shared" ca="1" si="66"/>
        <v>8.1081524593453889</v>
      </c>
    </row>
    <row r="280" spans="3:14" ht="12.75" outlineLevel="1" thickTop="1" x14ac:dyDescent="0.2"/>
    <row r="281" spans="3:14" outlineLevel="1" x14ac:dyDescent="0.2"/>
    <row r="282" spans="3:14" ht="16.5" outlineLevel="1" x14ac:dyDescent="0.25">
      <c r="C282" s="65" t="s">
        <v>113</v>
      </c>
    </row>
    <row r="283" spans="3:14" outlineLevel="1" x14ac:dyDescent="0.2"/>
    <row r="284" spans="3:14" ht="15" outlineLevel="1" x14ac:dyDescent="0.25">
      <c r="D284" s="5" t="s">
        <v>145</v>
      </c>
    </row>
    <row r="285" spans="3:14" outlineLevel="1" x14ac:dyDescent="0.2"/>
    <row r="286" spans="3:14" outlineLevel="1" x14ac:dyDescent="0.2">
      <c r="E286" t="s">
        <v>146</v>
      </c>
      <c r="G286" s="37" t="str">
        <f>Currency</f>
        <v>$'000</v>
      </c>
      <c r="J286" s="69">
        <f>IF(J$9=1,$J$270,I289)</f>
        <v>80</v>
      </c>
      <c r="K286" s="69">
        <f ca="1">IF(K$9=1,$J$270,J289)</f>
        <v>31.194666666666663</v>
      </c>
      <c r="L286" s="69">
        <f ca="1">IF(L$9=1,$J$270,K289)</f>
        <v>17.295566222222217</v>
      </c>
      <c r="M286" s="69">
        <f ca="1">IF(M$9=1,$J$270,L289)</f>
        <v>4.8020267567407338</v>
      </c>
      <c r="N286" s="69">
        <f ca="1">IF(N$9=1,$J$270,M289)</f>
        <v>0</v>
      </c>
    </row>
    <row r="287" spans="3:14" outlineLevel="1" x14ac:dyDescent="0.2">
      <c r="E287" t="str">
        <f>F37</f>
        <v>Debt Drawdowns</v>
      </c>
      <c r="G287" s="37" t="str">
        <f>Currency</f>
        <v>$'000</v>
      </c>
      <c r="J287" s="69">
        <f>J37-J270</f>
        <v>0</v>
      </c>
      <c r="K287" s="69">
        <f>K37-K270</f>
        <v>0</v>
      </c>
      <c r="L287" s="69">
        <f>L37-L270</f>
        <v>0</v>
      </c>
      <c r="M287" s="69">
        <f>M37-M270</f>
        <v>0</v>
      </c>
      <c r="N287" s="69">
        <f>N37-N270</f>
        <v>0</v>
      </c>
    </row>
    <row r="288" spans="3:14" outlineLevel="1" x14ac:dyDescent="0.2">
      <c r="E288" s="64" t="str">
        <f>F38</f>
        <v>Debt Repayments</v>
      </c>
      <c r="G288" s="37" t="str">
        <f>Currency</f>
        <v>$'000</v>
      </c>
      <c r="J288" s="69">
        <f ca="1">-J312</f>
        <v>-48.805333333333337</v>
      </c>
      <c r="K288" s="69">
        <f t="shared" ref="K288:N288" ca="1" si="67">-K312</f>
        <v>-13.899100444444446</v>
      </c>
      <c r="L288" s="69">
        <f t="shared" ca="1" si="67"/>
        <v>-12.493539465481483</v>
      </c>
      <c r="M288" s="69">
        <f t="shared" ca="1" si="67"/>
        <v>-4.8020267567407338</v>
      </c>
      <c r="N288" s="69">
        <f t="shared" ca="1" si="67"/>
        <v>0</v>
      </c>
    </row>
    <row r="289" spans="4:14" outlineLevel="1" x14ac:dyDescent="0.2">
      <c r="E289" t="s">
        <v>147</v>
      </c>
      <c r="G289" s="37" t="str">
        <f>Currency</f>
        <v>$'000</v>
      </c>
      <c r="J289" s="80">
        <f ca="1">SUM(J286:J288)</f>
        <v>31.194666666666663</v>
      </c>
      <c r="K289" s="80">
        <f t="shared" ref="K289:N289" ca="1" si="68">SUM(K286:K288)</f>
        <v>17.295566222222217</v>
      </c>
      <c r="L289" s="80">
        <f t="shared" ca="1" si="68"/>
        <v>4.8020267567407338</v>
      </c>
      <c r="M289" s="80">
        <f t="shared" ca="1" si="68"/>
        <v>0</v>
      </c>
      <c r="N289" s="80">
        <f t="shared" ca="1" si="68"/>
        <v>0</v>
      </c>
    </row>
    <row r="290" spans="4:14" outlineLevel="1" x14ac:dyDescent="0.2"/>
    <row r="291" spans="4:14" outlineLevel="1" x14ac:dyDescent="0.2"/>
    <row r="292" spans="4:14" ht="15" outlineLevel="1" x14ac:dyDescent="0.25">
      <c r="D292" s="5" t="str">
        <f>F21</f>
        <v>Interest Paid</v>
      </c>
    </row>
    <row r="293" spans="4:14" outlineLevel="1" x14ac:dyDescent="0.2"/>
    <row r="294" spans="4:14" outlineLevel="1" x14ac:dyDescent="0.2">
      <c r="E294" t="str">
        <f>E286</f>
        <v>Opening Debt</v>
      </c>
      <c r="G294" s="37" t="str">
        <f>Currency</f>
        <v>$'000</v>
      </c>
      <c r="H294" s="35">
        <f>ROW(I286)</f>
        <v>286</v>
      </c>
      <c r="I294" s="64"/>
      <c r="J294" s="69">
        <f>J286</f>
        <v>80</v>
      </c>
      <c r="K294" s="69">
        <f t="shared" ref="K294:N294" ca="1" si="69">K286</f>
        <v>31.194666666666663</v>
      </c>
      <c r="L294" s="69">
        <f t="shared" ca="1" si="69"/>
        <v>17.295566222222217</v>
      </c>
      <c r="M294" s="69">
        <f t="shared" ca="1" si="69"/>
        <v>4.8020267567407338</v>
      </c>
      <c r="N294" s="69">
        <f t="shared" ca="1" si="69"/>
        <v>0</v>
      </c>
    </row>
    <row r="295" spans="4:14" outlineLevel="1" x14ac:dyDescent="0.2">
      <c r="E295" t="str">
        <f>E258</f>
        <v>Interest Rate</v>
      </c>
      <c r="G295" s="37" t="s">
        <v>111</v>
      </c>
      <c r="H295" s="35">
        <f>ROW(I258)</f>
        <v>258</v>
      </c>
      <c r="J295" s="81">
        <f>J258</f>
        <v>0.06</v>
      </c>
      <c r="K295" s="81">
        <f t="shared" ref="K295:N295" si="70">K258</f>
        <v>0.06</v>
      </c>
      <c r="L295" s="81">
        <f t="shared" si="70"/>
        <v>0.06</v>
      </c>
      <c r="M295" s="81">
        <f t="shared" si="70"/>
        <v>0.06</v>
      </c>
      <c r="N295" s="81">
        <f t="shared" si="70"/>
        <v>0.06</v>
      </c>
    </row>
    <row r="296" spans="4:14" outlineLevel="1" x14ac:dyDescent="0.2"/>
    <row r="297" spans="4:14" outlineLevel="1" x14ac:dyDescent="0.2">
      <c r="E297" t="str">
        <f>D292</f>
        <v>Interest Paid</v>
      </c>
      <c r="G297" s="37" t="str">
        <f>Currency</f>
        <v>$'000</v>
      </c>
      <c r="J297" s="82">
        <f>MAX(J294*J295,)</f>
        <v>4.8</v>
      </c>
      <c r="K297" s="82">
        <f t="shared" ref="K297:N297" ca="1" si="71">MAX(K294*K295,)</f>
        <v>1.8716799999999998</v>
      </c>
      <c r="L297" s="82">
        <f t="shared" ca="1" si="71"/>
        <v>1.0377339733333331</v>
      </c>
      <c r="M297" s="82">
        <f t="shared" ca="1" si="71"/>
        <v>0.28812160540444404</v>
      </c>
      <c r="N297" s="82">
        <f t="shared" ca="1" si="71"/>
        <v>0</v>
      </c>
    </row>
    <row r="298" spans="4:14" outlineLevel="1" x14ac:dyDescent="0.2"/>
    <row r="299" spans="4:14" outlineLevel="1" x14ac:dyDescent="0.2"/>
    <row r="300" spans="4:14" ht="15" outlineLevel="1" x14ac:dyDescent="0.25">
      <c r="D300" s="5" t="s">
        <v>148</v>
      </c>
    </row>
    <row r="301" spans="4:14" outlineLevel="1" x14ac:dyDescent="0.2"/>
    <row r="302" spans="4:14" outlineLevel="1" x14ac:dyDescent="0.2">
      <c r="E302" t="str">
        <f>E279</f>
        <v>Target Debt Service (Principal and Interest)</v>
      </c>
      <c r="G302" s="37" t="str">
        <f>Currency</f>
        <v>$'000</v>
      </c>
      <c r="H302" s="35">
        <f>ROW(I279)</f>
        <v>279</v>
      </c>
      <c r="J302" s="69">
        <f ca="1">J279</f>
        <v>52.165333333333336</v>
      </c>
      <c r="K302" s="69">
        <f t="shared" ref="K302:N302" ca="1" si="72">K279</f>
        <v>15.209276444444447</v>
      </c>
      <c r="L302" s="69">
        <f t="shared" ca="1" si="72"/>
        <v>13.219953246814816</v>
      </c>
      <c r="M302" s="69">
        <f t="shared" ca="1" si="72"/>
        <v>9.0745862303036038</v>
      </c>
      <c r="N302" s="69">
        <f t="shared" ca="1" si="72"/>
        <v>8.1081524593453889</v>
      </c>
    </row>
    <row r="303" spans="4:14" outlineLevel="1" x14ac:dyDescent="0.2">
      <c r="E303" t="str">
        <f>"Post-Tax "&amp;E297</f>
        <v>Post-Tax Interest Paid</v>
      </c>
      <c r="G303" s="37" t="str">
        <f>Currency</f>
        <v>$'000</v>
      </c>
      <c r="H303" s="35">
        <f>ROW(I297)</f>
        <v>297</v>
      </c>
      <c r="J303" s="69">
        <f>-J297*(1-$H$118)</f>
        <v>-3.36</v>
      </c>
      <c r="K303" s="69">
        <f t="shared" ref="K303:N303" ca="1" si="73">-K297*(1-$H$118)</f>
        <v>-1.3101759999999998</v>
      </c>
      <c r="L303" s="69">
        <f t="shared" ca="1" si="73"/>
        <v>-0.72641378133333312</v>
      </c>
      <c r="M303" s="69">
        <f t="shared" ca="1" si="73"/>
        <v>-0.20168512378311082</v>
      </c>
      <c r="N303" s="69">
        <f t="shared" ca="1" si="73"/>
        <v>0</v>
      </c>
    </row>
    <row r="304" spans="4:14" outlineLevel="1" x14ac:dyDescent="0.2">
      <c r="E304" t="str">
        <f>"Unrestricted "&amp;D300</f>
        <v>Unrestricted Principal Paid</v>
      </c>
      <c r="G304" s="37" t="str">
        <f>Currency</f>
        <v>$'000</v>
      </c>
      <c r="J304" s="82">
        <f ca="1">MAX(SUM(J302:J303),)</f>
        <v>48.805333333333337</v>
      </c>
      <c r="K304" s="82">
        <f t="shared" ref="K304:N304" ca="1" si="74">MAX(SUM(K302:K303),)</f>
        <v>13.899100444444446</v>
      </c>
      <c r="L304" s="82">
        <f t="shared" ca="1" si="74"/>
        <v>12.493539465481483</v>
      </c>
      <c r="M304" s="82">
        <f t="shared" ca="1" si="74"/>
        <v>8.8729011065204926</v>
      </c>
      <c r="N304" s="82">
        <f t="shared" ca="1" si="74"/>
        <v>8.1081524593453889</v>
      </c>
    </row>
    <row r="305" spans="2:15" outlineLevel="1" x14ac:dyDescent="0.2"/>
    <row r="306" spans="2:15" outlineLevel="1" x14ac:dyDescent="0.2">
      <c r="E306" s="76" t="str">
        <f>E275</f>
        <v>Cash Flow Available for Debt Servicing (CFADS)</v>
      </c>
      <c r="G306" s="37" t="str">
        <f>Currency</f>
        <v>$'000</v>
      </c>
      <c r="H306" s="35">
        <f>ROW(I244)</f>
        <v>244</v>
      </c>
      <c r="I306" s="64"/>
      <c r="J306" s="69">
        <f ca="1">J244</f>
        <v>78.248000000000005</v>
      </c>
      <c r="K306" s="69">
        <f t="shared" ref="K306:N306" ca="1" si="75">K244</f>
        <v>22.813914666666669</v>
      </c>
      <c r="L306" s="69">
        <f t="shared" ca="1" si="75"/>
        <v>19.829929870222223</v>
      </c>
      <c r="M306" s="69">
        <f t="shared" ca="1" si="75"/>
        <v>13.611879345455407</v>
      </c>
      <c r="N306" s="69">
        <f t="shared" ca="1" si="75"/>
        <v>12.162228689018082</v>
      </c>
    </row>
    <row r="307" spans="2:15" outlineLevel="1" x14ac:dyDescent="0.2">
      <c r="E307" t="str">
        <f>"Post-Tax "&amp;E303</f>
        <v>Post-Tax Post-Tax Interest Paid</v>
      </c>
      <c r="G307" s="37" t="str">
        <f>Currency</f>
        <v>$'000</v>
      </c>
      <c r="H307" s="35">
        <f>ROW(I297)</f>
        <v>297</v>
      </c>
      <c r="I307" s="64"/>
      <c r="J307" s="69">
        <f>J303</f>
        <v>-3.36</v>
      </c>
      <c r="K307" s="69">
        <f t="shared" ref="K307:N307" ca="1" si="76">K303</f>
        <v>-1.3101759999999998</v>
      </c>
      <c r="L307" s="69">
        <f t="shared" ca="1" si="76"/>
        <v>-0.72641378133333312</v>
      </c>
      <c r="M307" s="69">
        <f t="shared" ca="1" si="76"/>
        <v>-0.20168512378311082</v>
      </c>
      <c r="N307" s="69">
        <f t="shared" ca="1" si="76"/>
        <v>0</v>
      </c>
    </row>
    <row r="308" spans="2:15" outlineLevel="1" x14ac:dyDescent="0.2">
      <c r="E308" t="s">
        <v>149</v>
      </c>
      <c r="G308" s="37" t="str">
        <f>Currency</f>
        <v>$'000</v>
      </c>
      <c r="H308" s="64"/>
      <c r="I308" s="64"/>
      <c r="J308" s="82">
        <f ca="1">MAX(SUM(J306:J307),)</f>
        <v>74.888000000000005</v>
      </c>
      <c r="K308" s="82">
        <f t="shared" ref="K308" ca="1" si="77">MAX(SUM(K306:K307),)</f>
        <v>21.503738666666671</v>
      </c>
      <c r="L308" s="82">
        <f t="shared" ref="L308" ca="1" si="78">MAX(SUM(L306:L307),)</f>
        <v>19.103516088888888</v>
      </c>
      <c r="M308" s="82">
        <f t="shared" ref="M308" ca="1" si="79">MAX(SUM(M306:M307),)</f>
        <v>13.410194221672295</v>
      </c>
      <c r="N308" s="82">
        <f t="shared" ref="N308" ca="1" si="80">MAX(SUM(N306:N307),)</f>
        <v>12.162228689018082</v>
      </c>
    </row>
    <row r="309" spans="2:15" outlineLevel="1" x14ac:dyDescent="0.2"/>
    <row r="310" spans="2:15" outlineLevel="1" x14ac:dyDescent="0.2">
      <c r="E310" t="str">
        <f>E294</f>
        <v>Opening Debt</v>
      </c>
      <c r="G310" s="37" t="str">
        <f>Currency</f>
        <v>$'000</v>
      </c>
      <c r="H310" s="35">
        <f>ROW(I286)</f>
        <v>286</v>
      </c>
      <c r="I310" s="64"/>
      <c r="J310" s="69">
        <f>J286</f>
        <v>80</v>
      </c>
      <c r="K310" s="69">
        <f t="shared" ref="K310:N310" ca="1" si="81">K286</f>
        <v>31.194666666666663</v>
      </c>
      <c r="L310" s="69">
        <f t="shared" ca="1" si="81"/>
        <v>17.295566222222217</v>
      </c>
      <c r="M310" s="69">
        <f t="shared" ca="1" si="81"/>
        <v>4.8020267567407338</v>
      </c>
      <c r="N310" s="69">
        <f t="shared" ca="1" si="81"/>
        <v>0</v>
      </c>
    </row>
    <row r="311" spans="2:15" outlineLevel="1" x14ac:dyDescent="0.2"/>
    <row r="312" spans="2:15" outlineLevel="1" x14ac:dyDescent="0.2">
      <c r="E312" t="str">
        <f>D300</f>
        <v>Principal Paid</v>
      </c>
      <c r="G312" s="37" t="str">
        <f>Currency</f>
        <v>$'000</v>
      </c>
      <c r="H312" s="64"/>
      <c r="I312" s="64"/>
      <c r="J312" s="80">
        <f ca="1">MIN(J304,J308,J310)</f>
        <v>48.805333333333337</v>
      </c>
      <c r="K312" s="80">
        <f t="shared" ref="K312:N312" ca="1" si="82">MIN(K304,K308,K310)</f>
        <v>13.899100444444446</v>
      </c>
      <c r="L312" s="80">
        <f t="shared" ca="1" si="82"/>
        <v>12.493539465481483</v>
      </c>
      <c r="M312" s="80">
        <f t="shared" ca="1" si="82"/>
        <v>4.8020267567407338</v>
      </c>
      <c r="N312" s="80">
        <f t="shared" ca="1" si="82"/>
        <v>0</v>
      </c>
    </row>
    <row r="313" spans="2:15" outlineLevel="1" x14ac:dyDescent="0.2"/>
    <row r="314" spans="2:15" outlineLevel="1" x14ac:dyDescent="0.2"/>
    <row r="315" spans="2:15" s="90" customFormat="1" ht="16.5" thickBot="1" x14ac:dyDescent="0.3">
      <c r="B315" s="52">
        <f>MAX($B$10:$B314)+1</f>
        <v>9</v>
      </c>
      <c r="C315" s="46" t="s">
        <v>150</v>
      </c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2:15" s="90" customFormat="1" ht="12.75" outlineLevel="1" thickTop="1" x14ac:dyDescent="0.2"/>
    <row r="317" spans="2:15" s="90" customFormat="1" ht="16.5" outlineLevel="1" x14ac:dyDescent="0.25">
      <c r="C317" s="65" t="s">
        <v>68</v>
      </c>
    </row>
    <row r="318" spans="2:15" s="90" customFormat="1" outlineLevel="1" x14ac:dyDescent="0.2"/>
    <row r="319" spans="2:15" s="90" customFormat="1" ht="15" outlineLevel="1" x14ac:dyDescent="0.25">
      <c r="D319" s="5" t="s">
        <v>138</v>
      </c>
    </row>
    <row r="320" spans="2:15" s="90" customFormat="1" outlineLevel="1" x14ac:dyDescent="0.2"/>
    <row r="321" spans="4:14" s="90" customFormat="1" outlineLevel="1" x14ac:dyDescent="0.2">
      <c r="E321" s="23" t="s">
        <v>151</v>
      </c>
    </row>
    <row r="322" spans="4:14" s="90" customFormat="1" outlineLevel="1" x14ac:dyDescent="0.2"/>
    <row r="323" spans="4:14" s="90" customFormat="1" outlineLevel="1" x14ac:dyDescent="0.2"/>
    <row r="324" spans="4:14" s="90" customFormat="1" ht="15" outlineLevel="1" x14ac:dyDescent="0.25">
      <c r="D324" s="5" t="s">
        <v>152</v>
      </c>
    </row>
    <row r="325" spans="4:14" s="90" customFormat="1" outlineLevel="1" x14ac:dyDescent="0.2"/>
    <row r="326" spans="4:14" s="103" customFormat="1" outlineLevel="1" x14ac:dyDescent="0.2">
      <c r="E326" s="103" t="str">
        <f>E258</f>
        <v>Interest Rate</v>
      </c>
      <c r="G326" s="37" t="s">
        <v>111</v>
      </c>
      <c r="H326" s="35">
        <f>ROW(I258)</f>
        <v>258</v>
      </c>
      <c r="I326" s="85">
        <f>H258</f>
        <v>0.06</v>
      </c>
    </row>
    <row r="327" spans="4:14" s="103" customFormat="1" outlineLevel="1" x14ac:dyDescent="0.2"/>
    <row r="328" spans="4:14" s="103" customFormat="1" outlineLevel="1" x14ac:dyDescent="0.2">
      <c r="E328" s="103" t="str">
        <f>E118</f>
        <v>Tax Rate</v>
      </c>
      <c r="G328" s="37" t="s">
        <v>111</v>
      </c>
      <c r="H328" s="35">
        <f>ROW(I118)</f>
        <v>118</v>
      </c>
      <c r="I328" s="85">
        <f>H118</f>
        <v>0.3</v>
      </c>
    </row>
    <row r="329" spans="4:14" s="103" customFormat="1" outlineLevel="1" x14ac:dyDescent="0.2"/>
    <row r="330" spans="4:14" s="90" customFormat="1" outlineLevel="1" x14ac:dyDescent="0.2">
      <c r="E330" s="66" t="str">
        <f>D324</f>
        <v>Discount Rate</v>
      </c>
      <c r="G330" s="37" t="s">
        <v>111</v>
      </c>
      <c r="H330" s="103"/>
      <c r="I330" s="105">
        <f>I326*(1-I328)</f>
        <v>4.1999999999999996E-2</v>
      </c>
    </row>
    <row r="331" spans="4:14" s="90" customFormat="1" outlineLevel="1" x14ac:dyDescent="0.2"/>
    <row r="332" spans="4:14" s="90" customFormat="1" outlineLevel="1" x14ac:dyDescent="0.2"/>
    <row r="333" spans="4:14" s="90" customFormat="1" ht="15" outlineLevel="1" x14ac:dyDescent="0.25">
      <c r="D333" s="5" t="s">
        <v>153</v>
      </c>
    </row>
    <row r="334" spans="4:14" s="90" customFormat="1" outlineLevel="1" x14ac:dyDescent="0.2"/>
    <row r="335" spans="4:14" s="90" customFormat="1" outlineLevel="1" x14ac:dyDescent="0.2">
      <c r="E335" s="90" t="s">
        <v>154</v>
      </c>
      <c r="G335" s="37" t="s">
        <v>142</v>
      </c>
      <c r="J335" s="88">
        <v>1.75</v>
      </c>
      <c r="K335" s="88">
        <v>1.75</v>
      </c>
      <c r="L335" s="88">
        <v>1.75</v>
      </c>
      <c r="M335" s="88">
        <v>1.75</v>
      </c>
      <c r="N335" s="88">
        <v>1.75</v>
      </c>
    </row>
    <row r="336" spans="4:14" outlineLevel="1" x14ac:dyDescent="0.2"/>
    <row r="337" spans="3:14" outlineLevel="1" x14ac:dyDescent="0.2"/>
    <row r="338" spans="3:14" s="90" customFormat="1" ht="16.5" outlineLevel="1" x14ac:dyDescent="0.25">
      <c r="C338" s="65" t="s">
        <v>112</v>
      </c>
    </row>
    <row r="339" spans="3:14" s="90" customFormat="1" outlineLevel="1" x14ac:dyDescent="0.2"/>
    <row r="340" spans="3:14" s="90" customFormat="1" ht="15" outlineLevel="1" x14ac:dyDescent="0.25">
      <c r="D340" s="5" t="str">
        <f>D256</f>
        <v>Interest Rate</v>
      </c>
    </row>
    <row r="341" spans="3:14" s="90" customFormat="1" outlineLevel="1" x14ac:dyDescent="0.2"/>
    <row r="342" spans="3:14" s="90" customFormat="1" outlineLevel="1" x14ac:dyDescent="0.2">
      <c r="E342" s="90" t="str">
        <f>D340</f>
        <v>Interest Rate</v>
      </c>
      <c r="G342" s="37" t="s">
        <v>111</v>
      </c>
      <c r="H342" s="35">
        <f>ROW(I258)</f>
        <v>258</v>
      </c>
      <c r="J342" s="85">
        <f>J258</f>
        <v>0.06</v>
      </c>
      <c r="K342" s="85">
        <f>K258</f>
        <v>0.06</v>
      </c>
      <c r="L342" s="85">
        <f>L258</f>
        <v>0.06</v>
      </c>
      <c r="M342" s="85">
        <f>M258</f>
        <v>0.06</v>
      </c>
      <c r="N342" s="85">
        <f>N258</f>
        <v>0.06</v>
      </c>
    </row>
    <row r="343" spans="3:14" s="90" customFormat="1" outlineLevel="1" x14ac:dyDescent="0.2"/>
    <row r="344" spans="3:14" s="90" customFormat="1" outlineLevel="1" x14ac:dyDescent="0.2"/>
    <row r="345" spans="3:14" s="90" customFormat="1" ht="15" outlineLevel="1" x14ac:dyDescent="0.25">
      <c r="D345" s="5" t="s">
        <v>144</v>
      </c>
    </row>
    <row r="346" spans="3:14" s="90" customFormat="1" outlineLevel="1" x14ac:dyDescent="0.2"/>
    <row r="347" spans="3:14" s="90" customFormat="1" outlineLevel="1" x14ac:dyDescent="0.2">
      <c r="E347" s="90" t="str">
        <f>D345</f>
        <v>Opening Debt Balance</v>
      </c>
      <c r="G347" s="37" t="str">
        <f>Currency</f>
        <v>$'000</v>
      </c>
      <c r="H347" s="35">
        <f>ROW(I37)</f>
        <v>37</v>
      </c>
      <c r="J347" s="73">
        <f>J37</f>
        <v>80</v>
      </c>
      <c r="K347" s="28"/>
      <c r="L347" s="28"/>
      <c r="M347" s="28"/>
      <c r="N347" s="28"/>
    </row>
    <row r="348" spans="3:14" s="90" customFormat="1" outlineLevel="1" x14ac:dyDescent="0.2"/>
    <row r="349" spans="3:14" s="90" customFormat="1" outlineLevel="1" x14ac:dyDescent="0.2"/>
    <row r="350" spans="3:14" s="90" customFormat="1" ht="15" outlineLevel="1" x14ac:dyDescent="0.25">
      <c r="D350" s="5" t="s">
        <v>143</v>
      </c>
    </row>
    <row r="351" spans="3:14" s="90" customFormat="1" outlineLevel="1" x14ac:dyDescent="0.2"/>
    <row r="352" spans="3:14" s="99" customFormat="1" outlineLevel="1" x14ac:dyDescent="0.2">
      <c r="E352" s="99" t="s">
        <v>146</v>
      </c>
      <c r="G352" s="37" t="str">
        <f>Currency</f>
        <v>$'000</v>
      </c>
      <c r="H352" s="35">
        <f>ROW(I367)</f>
        <v>367</v>
      </c>
      <c r="J352" s="73">
        <f>J367</f>
        <v>80</v>
      </c>
      <c r="K352" s="73">
        <f t="shared" ref="K352:N352" ca="1" si="83">K367</f>
        <v>35.717729093529513</v>
      </c>
      <c r="L352" s="73">
        <f t="shared" ca="1" si="83"/>
        <v>24.18135104879109</v>
      </c>
      <c r="M352" s="73">
        <f t="shared" ca="1" si="83"/>
        <v>13.865579295570472</v>
      </c>
      <c r="N352" s="73">
        <f t="shared" ca="1" si="83"/>
        <v>6.669716857152773</v>
      </c>
    </row>
    <row r="353" spans="3:15" s="99" customFormat="1" outlineLevel="1" x14ac:dyDescent="0.2">
      <c r="K353" s="100"/>
      <c r="L353" s="100"/>
      <c r="M353" s="100"/>
      <c r="N353" s="100"/>
    </row>
    <row r="354" spans="3:15" s="90" customFormat="1" outlineLevel="1" x14ac:dyDescent="0.2">
      <c r="E354" s="76" t="str">
        <f>E244</f>
        <v>Cash Flow Available for Debt Servicing (CFADS)</v>
      </c>
      <c r="G354" s="37" t="str">
        <f>Currency</f>
        <v>$'000</v>
      </c>
      <c r="H354" s="35">
        <f>ROW(I244)</f>
        <v>244</v>
      </c>
      <c r="J354" s="73">
        <f ca="1">J244</f>
        <v>78.248000000000005</v>
      </c>
      <c r="K354" s="73">
        <f ca="1">K244</f>
        <v>22.813914666666669</v>
      </c>
      <c r="L354" s="73">
        <f ca="1">L244</f>
        <v>19.829929870222223</v>
      </c>
      <c r="M354" s="73">
        <f ca="1">M244</f>
        <v>13.611879345455407</v>
      </c>
      <c r="N354" s="73">
        <f ca="1">N244</f>
        <v>12.162228689018082</v>
      </c>
    </row>
    <row r="355" spans="3:15" s="90" customFormat="1" outlineLevel="1" x14ac:dyDescent="0.2"/>
    <row r="356" spans="3:15" s="90" customFormat="1" outlineLevel="1" x14ac:dyDescent="0.2">
      <c r="E356" s="90" t="s">
        <v>174</v>
      </c>
      <c r="G356" s="37" t="str">
        <f>Currency</f>
        <v>$'000</v>
      </c>
      <c r="H356" s="91">
        <f>I330</f>
        <v>4.1999999999999996E-2</v>
      </c>
      <c r="J356" s="68">
        <f ca="1">(K354+K356)/(1+$I$330)</f>
        <v>62.506025913676652</v>
      </c>
      <c r="K356" s="68">
        <f t="shared" ref="K356:N356" ca="1" si="84">(L354+L356)/(1+$I$330)</f>
        <v>42.317364335384404</v>
      </c>
      <c r="L356" s="68">
        <f t="shared" ca="1" si="84"/>
        <v>24.264763767248326</v>
      </c>
      <c r="M356" s="68">
        <f t="shared" ca="1" si="84"/>
        <v>11.672004500017353</v>
      </c>
      <c r="N356" s="68">
        <f t="shared" si="84"/>
        <v>0</v>
      </c>
      <c r="O356" s="68"/>
    </row>
    <row r="357" spans="3:15" s="90" customFormat="1" outlineLevel="1" x14ac:dyDescent="0.2"/>
    <row r="358" spans="3:15" s="90" customFormat="1" outlineLevel="1" x14ac:dyDescent="0.2">
      <c r="E358" s="90" t="str">
        <f>E335</f>
        <v>Target PLCR</v>
      </c>
      <c r="G358" s="37" t="s">
        <v>142</v>
      </c>
      <c r="H358" s="35">
        <f>ROW(I335)</f>
        <v>335</v>
      </c>
      <c r="J358" s="89">
        <f>J335</f>
        <v>1.75</v>
      </c>
      <c r="K358" s="89">
        <f>K335</f>
        <v>1.75</v>
      </c>
      <c r="L358" s="89">
        <f>L335</f>
        <v>1.75</v>
      </c>
      <c r="M358" s="89">
        <f>M335</f>
        <v>1.75</v>
      </c>
      <c r="N358" s="89">
        <f>N335</f>
        <v>1.75</v>
      </c>
    </row>
    <row r="359" spans="3:15" s="90" customFormat="1" outlineLevel="1" x14ac:dyDescent="0.2">
      <c r="K359" s="100"/>
      <c r="L359" s="100"/>
      <c r="M359" s="100"/>
      <c r="N359" s="100"/>
    </row>
    <row r="360" spans="3:15" s="90" customFormat="1" ht="12.75" outlineLevel="1" thickBot="1" x14ac:dyDescent="0.25">
      <c r="E360" s="66" t="s">
        <v>171</v>
      </c>
      <c r="G360" s="37" t="str">
        <f>Currency</f>
        <v>$'000</v>
      </c>
      <c r="J360" s="84">
        <f ca="1">IF(J$9=MAX($9:$9),,IF(J356&lt;=0,J352,IF(J358,J356/J358,)))</f>
        <v>35.717729093529513</v>
      </c>
      <c r="K360" s="84">
        <f t="shared" ref="K360:N360" ca="1" si="85">IF(K$9=MAX($9:$9),,IF(K356&lt;=0,K352,IF(K358,K356/K358,)))</f>
        <v>24.18135104879109</v>
      </c>
      <c r="L360" s="84">
        <f t="shared" ca="1" si="85"/>
        <v>13.865579295570472</v>
      </c>
      <c r="M360" s="84">
        <f t="shared" ca="1" si="85"/>
        <v>6.669716857152773</v>
      </c>
      <c r="N360" s="84">
        <f t="shared" si="85"/>
        <v>0</v>
      </c>
    </row>
    <row r="361" spans="3:15" ht="12.75" outlineLevel="1" thickTop="1" x14ac:dyDescent="0.2"/>
    <row r="362" spans="3:15" outlineLevel="1" x14ac:dyDescent="0.2"/>
    <row r="363" spans="3:15" s="90" customFormat="1" ht="16.5" outlineLevel="1" x14ac:dyDescent="0.25">
      <c r="C363" s="65" t="s">
        <v>113</v>
      </c>
    </row>
    <row r="364" spans="3:15" s="90" customFormat="1" outlineLevel="1" x14ac:dyDescent="0.2"/>
    <row r="365" spans="3:15" s="90" customFormat="1" ht="15" outlineLevel="1" x14ac:dyDescent="0.25">
      <c r="D365" s="5" t="s">
        <v>145</v>
      </c>
    </row>
    <row r="366" spans="3:15" s="90" customFormat="1" outlineLevel="1" x14ac:dyDescent="0.2"/>
    <row r="367" spans="3:15" s="90" customFormat="1" outlineLevel="1" x14ac:dyDescent="0.2">
      <c r="E367" s="90" t="s">
        <v>146</v>
      </c>
      <c r="G367" s="37" t="str">
        <f>Currency</f>
        <v>$'000</v>
      </c>
      <c r="J367" s="69">
        <f>IF(J$9=1,$J$347,I370)</f>
        <v>80</v>
      </c>
      <c r="K367" s="69">
        <f ca="1">IF(K$9=1,$J$347,J370)</f>
        <v>35.717729093529513</v>
      </c>
      <c r="L367" s="69">
        <f ca="1">IF(L$9=1,$J$347,K370)</f>
        <v>24.18135104879109</v>
      </c>
      <c r="M367" s="69">
        <f ca="1">IF(M$9=1,$J$347,L370)</f>
        <v>13.865579295570472</v>
      </c>
      <c r="N367" s="69">
        <f ca="1">IF(N$9=1,$J$347,M370)</f>
        <v>6.669716857152773</v>
      </c>
    </row>
    <row r="368" spans="3:15" s="90" customFormat="1" outlineLevel="1" x14ac:dyDescent="0.2">
      <c r="E368" s="90" t="str">
        <f>F37</f>
        <v>Debt Drawdowns</v>
      </c>
      <c r="G368" s="37" t="str">
        <f>Currency</f>
        <v>$'000</v>
      </c>
      <c r="J368" s="69">
        <f>J37-J347</f>
        <v>0</v>
      </c>
      <c r="K368" s="69">
        <f>K37-K347</f>
        <v>0</v>
      </c>
      <c r="L368" s="69">
        <f>L37-L347</f>
        <v>0</v>
      </c>
      <c r="M368" s="69">
        <f>M37-M347</f>
        <v>0</v>
      </c>
      <c r="N368" s="69">
        <f>N37-N347</f>
        <v>0</v>
      </c>
    </row>
    <row r="369" spans="4:14" s="90" customFormat="1" outlineLevel="1" x14ac:dyDescent="0.2">
      <c r="E369" s="90" t="str">
        <f>F38</f>
        <v>Debt Repayments</v>
      </c>
      <c r="G369" s="37" t="str">
        <f>Currency</f>
        <v>$'000</v>
      </c>
      <c r="H369" s="35">
        <f>ROW(I395)</f>
        <v>395</v>
      </c>
      <c r="J369" s="69">
        <f ca="1">-J395</f>
        <v>-44.282270906470487</v>
      </c>
      <c r="K369" s="69">
        <f t="shared" ref="K369:N369" ca="1" si="86">-K395</f>
        <v>-11.536378044738424</v>
      </c>
      <c r="L369" s="69">
        <f t="shared" ca="1" si="86"/>
        <v>-10.315771753220618</v>
      </c>
      <c r="M369" s="69">
        <f t="shared" ca="1" si="86"/>
        <v>-7.1958624384176986</v>
      </c>
      <c r="N369" s="69">
        <f t="shared" ca="1" si="86"/>
        <v>-6.669716857152773</v>
      </c>
    </row>
    <row r="370" spans="4:14" s="90" customFormat="1" outlineLevel="1" x14ac:dyDescent="0.2">
      <c r="E370" s="90" t="s">
        <v>147</v>
      </c>
      <c r="G370" s="37" t="str">
        <f>Currency</f>
        <v>$'000</v>
      </c>
      <c r="H370" s="96"/>
      <c r="J370" s="70">
        <f ca="1">SUM(J367:J369)</f>
        <v>35.717729093529513</v>
      </c>
      <c r="K370" s="70">
        <f t="shared" ref="K370:N370" ca="1" si="87">SUM(K367:K369)</f>
        <v>24.18135104879109</v>
      </c>
      <c r="L370" s="70">
        <f t="shared" ca="1" si="87"/>
        <v>13.865579295570472</v>
      </c>
      <c r="M370" s="70">
        <f t="shared" ca="1" si="87"/>
        <v>6.669716857152773</v>
      </c>
      <c r="N370" s="70">
        <f t="shared" ca="1" si="87"/>
        <v>0</v>
      </c>
    </row>
    <row r="371" spans="4:14" s="90" customFormat="1" outlineLevel="1" x14ac:dyDescent="0.2"/>
    <row r="372" spans="4:14" s="100" customFormat="1" outlineLevel="1" x14ac:dyDescent="0.2">
      <c r="E372" s="100" t="s">
        <v>175</v>
      </c>
      <c r="G372" s="37" t="s">
        <v>161</v>
      </c>
      <c r="I372" s="102">
        <f ca="1">MIN(SUM(J372:N372),1)</f>
        <v>0</v>
      </c>
      <c r="J372" s="101">
        <f ca="1">($H$490=$E$498)*(J$9=MAX($9:$9))*(J370&lt;&gt;0)</f>
        <v>0</v>
      </c>
      <c r="K372" s="101">
        <f ca="1">($H$490=$E$498)*(K$9=MAX($9:$9))*(K370&lt;&gt;0)</f>
        <v>0</v>
      </c>
      <c r="L372" s="101">
        <f ca="1">($H$490=$E$498)*(L$9=MAX($9:$9))*(L370&lt;&gt;0)</f>
        <v>0</v>
      </c>
      <c r="M372" s="101">
        <f ca="1">($H$490=$E$498)*(M$9=MAX($9:$9))*(M370&lt;&gt;0)</f>
        <v>0</v>
      </c>
      <c r="N372" s="101">
        <f ca="1">($H$490=$E$498)*(N$9=MAX($9:$9))*(N370&lt;&gt;0)</f>
        <v>0</v>
      </c>
    </row>
    <row r="373" spans="4:14" s="100" customFormat="1" outlineLevel="1" x14ac:dyDescent="0.2"/>
    <row r="374" spans="4:14" s="90" customFormat="1" outlineLevel="1" x14ac:dyDescent="0.2"/>
    <row r="375" spans="4:14" s="90" customFormat="1" ht="15" outlineLevel="1" x14ac:dyDescent="0.25">
      <c r="D375" s="5" t="str">
        <f>F21</f>
        <v>Interest Paid</v>
      </c>
    </row>
    <row r="376" spans="4:14" s="90" customFormat="1" outlineLevel="1" x14ac:dyDescent="0.2"/>
    <row r="377" spans="4:14" s="90" customFormat="1" outlineLevel="1" x14ac:dyDescent="0.2">
      <c r="E377" s="90" t="str">
        <f>E367</f>
        <v>Opening Debt</v>
      </c>
      <c r="G377" s="37" t="str">
        <f>Currency</f>
        <v>$'000</v>
      </c>
      <c r="H377" s="35">
        <f>ROW(I367)</f>
        <v>367</v>
      </c>
      <c r="J377" s="69">
        <f>J367</f>
        <v>80</v>
      </c>
      <c r="K377" s="69">
        <f ca="1">K367</f>
        <v>35.717729093529513</v>
      </c>
      <c r="L377" s="69">
        <f ca="1">L367</f>
        <v>24.18135104879109</v>
      </c>
      <c r="M377" s="69">
        <f ca="1">M367</f>
        <v>13.865579295570472</v>
      </c>
      <c r="N377" s="69">
        <f ca="1">N367</f>
        <v>6.669716857152773</v>
      </c>
    </row>
    <row r="378" spans="4:14" s="90" customFormat="1" outlineLevel="1" x14ac:dyDescent="0.2">
      <c r="E378" s="90" t="str">
        <f>E342</f>
        <v>Interest Rate</v>
      </c>
      <c r="G378" s="37" t="s">
        <v>111</v>
      </c>
      <c r="H378" s="35">
        <f>ROW(I342)</f>
        <v>342</v>
      </c>
      <c r="J378" s="81">
        <f>J342</f>
        <v>0.06</v>
      </c>
      <c r="K378" s="81">
        <f>K342</f>
        <v>0.06</v>
      </c>
      <c r="L378" s="81">
        <f>L342</f>
        <v>0.06</v>
      </c>
      <c r="M378" s="81">
        <f>M342</f>
        <v>0.06</v>
      </c>
      <c r="N378" s="81">
        <f>N342</f>
        <v>0.06</v>
      </c>
    </row>
    <row r="379" spans="4:14" s="90" customFormat="1" outlineLevel="1" x14ac:dyDescent="0.2"/>
    <row r="380" spans="4:14" s="90" customFormat="1" outlineLevel="1" x14ac:dyDescent="0.2">
      <c r="E380" s="90" t="str">
        <f>D375</f>
        <v>Interest Paid</v>
      </c>
      <c r="G380" s="37" t="str">
        <f>Currency</f>
        <v>$'000</v>
      </c>
      <c r="J380" s="82">
        <f>MAX(J377*J378,)</f>
        <v>4.8</v>
      </c>
      <c r="K380" s="82">
        <f t="shared" ref="K380:N380" ca="1" si="88">MAX(K377*K378,)</f>
        <v>2.1430637456117707</v>
      </c>
      <c r="L380" s="82">
        <f t="shared" ca="1" si="88"/>
        <v>1.4508810629274653</v>
      </c>
      <c r="M380" s="82">
        <f t="shared" ca="1" si="88"/>
        <v>0.83193475773422831</v>
      </c>
      <c r="N380" s="82">
        <f t="shared" ca="1" si="88"/>
        <v>0.40018301142916635</v>
      </c>
    </row>
    <row r="381" spans="4:14" s="90" customFormat="1" outlineLevel="1" x14ac:dyDescent="0.2"/>
    <row r="382" spans="4:14" s="90" customFormat="1" outlineLevel="1" x14ac:dyDescent="0.2"/>
    <row r="383" spans="4:14" s="90" customFormat="1" ht="15" outlineLevel="1" x14ac:dyDescent="0.25">
      <c r="D383" s="5" t="s">
        <v>148</v>
      </c>
    </row>
    <row r="384" spans="4:14" s="90" customFormat="1" outlineLevel="1" x14ac:dyDescent="0.2"/>
    <row r="385" spans="2:15" s="90" customFormat="1" outlineLevel="1" x14ac:dyDescent="0.2">
      <c r="E385" s="90" t="str">
        <f>E360</f>
        <v>Target Debt Balance</v>
      </c>
      <c r="G385" s="37" t="str">
        <f>Currency</f>
        <v>$'000</v>
      </c>
      <c r="H385" s="35">
        <f>ROW(I360)</f>
        <v>360</v>
      </c>
      <c r="J385" s="69">
        <f ca="1">-J360</f>
        <v>-35.717729093529513</v>
      </c>
      <c r="K385" s="69">
        <f t="shared" ref="K385:N385" ca="1" si="89">-K360</f>
        <v>-24.18135104879109</v>
      </c>
      <c r="L385" s="69">
        <f t="shared" ca="1" si="89"/>
        <v>-13.865579295570472</v>
      </c>
      <c r="M385" s="69">
        <f t="shared" ca="1" si="89"/>
        <v>-6.669716857152773</v>
      </c>
      <c r="N385" s="69">
        <f t="shared" si="89"/>
        <v>0</v>
      </c>
    </row>
    <row r="386" spans="2:15" s="90" customFormat="1" outlineLevel="1" x14ac:dyDescent="0.2">
      <c r="E386" s="90" t="str">
        <f>E367&amp;" Plus "&amp;E368</f>
        <v>Opening Debt Plus Debt Drawdowns</v>
      </c>
      <c r="G386" s="37" t="str">
        <f>Currency</f>
        <v>$'000</v>
      </c>
      <c r="H386" s="35">
        <f>ROW(I380)</f>
        <v>380</v>
      </c>
      <c r="J386" s="69">
        <f>SUM(J367:J368)</f>
        <v>80</v>
      </c>
      <c r="K386" s="69">
        <f t="shared" ref="K386:N386" ca="1" si="90">SUM(K367:K368)</f>
        <v>35.717729093529513</v>
      </c>
      <c r="L386" s="69">
        <f t="shared" ca="1" si="90"/>
        <v>24.18135104879109</v>
      </c>
      <c r="M386" s="69">
        <f t="shared" ca="1" si="90"/>
        <v>13.865579295570472</v>
      </c>
      <c r="N386" s="69">
        <f t="shared" ca="1" si="90"/>
        <v>6.669716857152773</v>
      </c>
    </row>
    <row r="387" spans="2:15" s="90" customFormat="1" outlineLevel="1" x14ac:dyDescent="0.2">
      <c r="E387" s="90" t="str">
        <f>"Unrestricted "&amp;D383</f>
        <v>Unrestricted Principal Paid</v>
      </c>
      <c r="G387" s="37" t="str">
        <f>Currency</f>
        <v>$'000</v>
      </c>
      <c r="J387" s="82">
        <f ca="1">IF(J385="n/a",,MAX(SUM(J385:J386),))</f>
        <v>44.282270906470487</v>
      </c>
      <c r="K387" s="82">
        <f t="shared" ref="K387:N387" ca="1" si="91">IF(K385="n/a",,MAX(SUM(K385:K386),))</f>
        <v>11.536378044738424</v>
      </c>
      <c r="L387" s="82">
        <f t="shared" ca="1" si="91"/>
        <v>10.315771753220618</v>
      </c>
      <c r="M387" s="82">
        <f t="shared" ca="1" si="91"/>
        <v>7.1958624384176986</v>
      </c>
      <c r="N387" s="82">
        <f t="shared" ca="1" si="91"/>
        <v>6.669716857152773</v>
      </c>
    </row>
    <row r="388" spans="2:15" s="90" customFormat="1" outlineLevel="1" x14ac:dyDescent="0.2"/>
    <row r="389" spans="2:15" s="90" customFormat="1" outlineLevel="1" x14ac:dyDescent="0.2">
      <c r="E389" s="76" t="str">
        <f>E354</f>
        <v>Cash Flow Available for Debt Servicing (CFADS)</v>
      </c>
      <c r="G389" s="37" t="str">
        <f>Currency</f>
        <v>$'000</v>
      </c>
      <c r="H389" s="35">
        <f>ROW(I354)</f>
        <v>354</v>
      </c>
      <c r="J389" s="69">
        <f ca="1">J354</f>
        <v>78.248000000000005</v>
      </c>
      <c r="K389" s="69">
        <f t="shared" ref="K389:N389" ca="1" si="92">K354</f>
        <v>22.813914666666669</v>
      </c>
      <c r="L389" s="69">
        <f t="shared" ca="1" si="92"/>
        <v>19.829929870222223</v>
      </c>
      <c r="M389" s="69">
        <f t="shared" ca="1" si="92"/>
        <v>13.611879345455407</v>
      </c>
      <c r="N389" s="69">
        <f t="shared" ca="1" si="92"/>
        <v>12.162228689018082</v>
      </c>
    </row>
    <row r="390" spans="2:15" s="90" customFormat="1" outlineLevel="1" x14ac:dyDescent="0.2">
      <c r="E390" s="90" t="str">
        <f>"Post-Tax "&amp;E380</f>
        <v>Post-Tax Interest Paid</v>
      </c>
      <c r="G390" s="37" t="str">
        <f>Currency</f>
        <v>$'000</v>
      </c>
      <c r="H390" s="35">
        <f>ROW(I380)</f>
        <v>380</v>
      </c>
      <c r="J390" s="69">
        <f>-J380*(1-$H$118)</f>
        <v>-3.36</v>
      </c>
      <c r="K390" s="69">
        <f t="shared" ref="K390:N390" ca="1" si="93">-K380*(1-$H$118)</f>
        <v>-1.5001446219282395</v>
      </c>
      <c r="L390" s="69">
        <f t="shared" ca="1" si="93"/>
        <v>-1.0156167440492256</v>
      </c>
      <c r="M390" s="69">
        <f t="shared" ca="1" si="93"/>
        <v>-0.58235433041395979</v>
      </c>
      <c r="N390" s="69">
        <f t="shared" ca="1" si="93"/>
        <v>-0.28012810800041643</v>
      </c>
    </row>
    <row r="391" spans="2:15" s="90" customFormat="1" outlineLevel="1" x14ac:dyDescent="0.2">
      <c r="E391" s="90" t="s">
        <v>149</v>
      </c>
      <c r="G391" s="37" t="str">
        <f>Currency</f>
        <v>$'000</v>
      </c>
      <c r="J391" s="82">
        <f ca="1">MAX(SUM(J389:J390),)</f>
        <v>74.888000000000005</v>
      </c>
      <c r="K391" s="82">
        <f t="shared" ref="K391:N391" ca="1" si="94">MAX(SUM(K389:K390),)</f>
        <v>21.31377004473843</v>
      </c>
      <c r="L391" s="82">
        <f t="shared" ca="1" si="94"/>
        <v>18.814313126172998</v>
      </c>
      <c r="M391" s="82">
        <f t="shared" ca="1" si="94"/>
        <v>13.029525015041447</v>
      </c>
      <c r="N391" s="82">
        <f t="shared" ca="1" si="94"/>
        <v>11.882100581017665</v>
      </c>
    </row>
    <row r="392" spans="2:15" s="90" customFormat="1" outlineLevel="1" x14ac:dyDescent="0.2"/>
    <row r="393" spans="2:15" s="90" customFormat="1" outlineLevel="1" x14ac:dyDescent="0.2">
      <c r="E393" s="90" t="str">
        <f>E377</f>
        <v>Opening Debt</v>
      </c>
      <c r="G393" s="37" t="str">
        <f>Currency</f>
        <v>$'000</v>
      </c>
      <c r="H393" s="35">
        <f>ROW(I367)</f>
        <v>367</v>
      </c>
      <c r="J393" s="69">
        <f>J367</f>
        <v>80</v>
      </c>
      <c r="K393" s="69">
        <f t="shared" ref="K393:N393" ca="1" si="95">K367</f>
        <v>35.717729093529513</v>
      </c>
      <c r="L393" s="69">
        <f t="shared" ca="1" si="95"/>
        <v>24.18135104879109</v>
      </c>
      <c r="M393" s="69">
        <f t="shared" ca="1" si="95"/>
        <v>13.865579295570472</v>
      </c>
      <c r="N393" s="69">
        <f t="shared" ca="1" si="95"/>
        <v>6.669716857152773</v>
      </c>
    </row>
    <row r="394" spans="2:15" s="90" customFormat="1" outlineLevel="1" x14ac:dyDescent="0.2"/>
    <row r="395" spans="2:15" s="90" customFormat="1" outlineLevel="1" x14ac:dyDescent="0.2">
      <c r="E395" s="90" t="str">
        <f>D383</f>
        <v>Principal Paid</v>
      </c>
      <c r="G395" s="37" t="str">
        <f>Currency</f>
        <v>$'000</v>
      </c>
      <c r="J395" s="80">
        <f ca="1">MIN(J387,J391,J393)</f>
        <v>44.282270906470487</v>
      </c>
      <c r="K395" s="80">
        <f t="shared" ref="K395:N395" ca="1" si="96">MIN(K387,K391,K393)</f>
        <v>11.536378044738424</v>
      </c>
      <c r="L395" s="80">
        <f t="shared" ca="1" si="96"/>
        <v>10.315771753220618</v>
      </c>
      <c r="M395" s="80">
        <f t="shared" ca="1" si="96"/>
        <v>7.1958624384176986</v>
      </c>
      <c r="N395" s="80">
        <f t="shared" ca="1" si="96"/>
        <v>6.669716857152773</v>
      </c>
    </row>
    <row r="396" spans="2:15" outlineLevel="1" x14ac:dyDescent="0.2"/>
    <row r="397" spans="2:15" outlineLevel="1" x14ac:dyDescent="0.2"/>
    <row r="398" spans="2:15" s="90" customFormat="1" ht="16.5" thickBot="1" x14ac:dyDescent="0.3">
      <c r="B398" s="52">
        <f>MAX($B$10:$B397)+1</f>
        <v>10</v>
      </c>
      <c r="C398" s="46" t="s">
        <v>155</v>
      </c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2:15" s="90" customFormat="1" ht="12.75" outlineLevel="1" thickTop="1" x14ac:dyDescent="0.2"/>
    <row r="400" spans="2:15" s="90" customFormat="1" ht="16.5" outlineLevel="1" x14ac:dyDescent="0.25">
      <c r="C400" s="65" t="s">
        <v>68</v>
      </c>
    </row>
    <row r="401" spans="4:9" s="90" customFormat="1" outlineLevel="1" x14ac:dyDescent="0.2"/>
    <row r="402" spans="4:9" s="90" customFormat="1" ht="15" outlineLevel="1" x14ac:dyDescent="0.25">
      <c r="D402" s="5" t="s">
        <v>138</v>
      </c>
    </row>
    <row r="403" spans="4:9" s="90" customFormat="1" outlineLevel="1" x14ac:dyDescent="0.2"/>
    <row r="404" spans="4:9" s="90" customFormat="1" outlineLevel="1" x14ac:dyDescent="0.2">
      <c r="E404" s="23" t="str">
        <f ca="1">"A similar calculation to PLCR, the loan life is stipulated in cell "&amp;SUBSTITUTE(CELL("address",H418),"$","")&amp;"."</f>
        <v>A similar calculation to PLCR, the loan life is stipulated in cell H418.</v>
      </c>
    </row>
    <row r="405" spans="4:9" s="90" customFormat="1" outlineLevel="1" x14ac:dyDescent="0.2"/>
    <row r="406" spans="4:9" s="90" customFormat="1" outlineLevel="1" x14ac:dyDescent="0.2"/>
    <row r="407" spans="4:9" s="90" customFormat="1" ht="15" outlineLevel="1" x14ac:dyDescent="0.25">
      <c r="D407" s="5" t="s">
        <v>152</v>
      </c>
    </row>
    <row r="408" spans="4:9" s="90" customFormat="1" outlineLevel="1" x14ac:dyDescent="0.2"/>
    <row r="409" spans="4:9" s="103" customFormat="1" outlineLevel="1" x14ac:dyDescent="0.2">
      <c r="E409" s="103" t="str">
        <f>E258</f>
        <v>Interest Rate</v>
      </c>
      <c r="G409" s="37" t="s">
        <v>111</v>
      </c>
      <c r="H409" s="35">
        <f>ROW(I258)</f>
        <v>258</v>
      </c>
      <c r="I409" s="85">
        <f>H258</f>
        <v>0.06</v>
      </c>
    </row>
    <row r="410" spans="4:9" s="103" customFormat="1" outlineLevel="1" x14ac:dyDescent="0.2"/>
    <row r="411" spans="4:9" s="103" customFormat="1" outlineLevel="1" x14ac:dyDescent="0.2">
      <c r="E411" s="103" t="str">
        <f>E118</f>
        <v>Tax Rate</v>
      </c>
      <c r="G411" s="37" t="s">
        <v>111</v>
      </c>
      <c r="H411" s="35">
        <f>ROW(I118)</f>
        <v>118</v>
      </c>
      <c r="I411" s="85">
        <f>H118</f>
        <v>0.3</v>
      </c>
    </row>
    <row r="412" spans="4:9" s="103" customFormat="1" outlineLevel="1" x14ac:dyDescent="0.2"/>
    <row r="413" spans="4:9" s="90" customFormat="1" outlineLevel="1" x14ac:dyDescent="0.2">
      <c r="E413" s="66" t="str">
        <f>D407</f>
        <v>Discount Rate</v>
      </c>
      <c r="F413" s="103"/>
      <c r="G413" s="37" t="s">
        <v>111</v>
      </c>
      <c r="H413" s="103"/>
      <c r="I413" s="105">
        <f>I409*(1-I411)</f>
        <v>4.1999999999999996E-2</v>
      </c>
    </row>
    <row r="414" spans="4:9" s="90" customFormat="1" outlineLevel="1" x14ac:dyDescent="0.2"/>
    <row r="415" spans="4:9" s="90" customFormat="1" outlineLevel="1" x14ac:dyDescent="0.2"/>
    <row r="416" spans="4:9" s="90" customFormat="1" ht="15" outlineLevel="1" x14ac:dyDescent="0.25">
      <c r="D416" s="5" t="s">
        <v>156</v>
      </c>
    </row>
    <row r="417" spans="3:14" s="90" customFormat="1" outlineLevel="1" x14ac:dyDescent="0.2"/>
    <row r="418" spans="3:14" s="90" customFormat="1" outlineLevel="1" x14ac:dyDescent="0.2">
      <c r="E418" s="90" t="s">
        <v>158</v>
      </c>
      <c r="G418" s="92" t="s">
        <v>159</v>
      </c>
      <c r="H418" s="93">
        <v>4</v>
      </c>
    </row>
    <row r="419" spans="3:14" s="90" customFormat="1" outlineLevel="1" x14ac:dyDescent="0.2">
      <c r="E419" s="90" t="s">
        <v>160</v>
      </c>
      <c r="G419" s="37" t="s">
        <v>161</v>
      </c>
      <c r="J419" s="94">
        <f>(J$9&lt;=MAX(N($H418),1))*1</f>
        <v>1</v>
      </c>
      <c r="K419" s="94">
        <f t="shared" ref="K419:N419" si="97">(K$9&lt;=MAX(N($H418),1))*1</f>
        <v>1</v>
      </c>
      <c r="L419" s="94">
        <f t="shared" si="97"/>
        <v>1</v>
      </c>
      <c r="M419" s="94">
        <f t="shared" si="97"/>
        <v>1</v>
      </c>
      <c r="N419" s="94">
        <f t="shared" si="97"/>
        <v>0</v>
      </c>
    </row>
    <row r="420" spans="3:14" s="90" customFormat="1" outlineLevel="1" x14ac:dyDescent="0.2"/>
    <row r="421" spans="3:14" s="90" customFormat="1" outlineLevel="1" x14ac:dyDescent="0.2">
      <c r="E421" s="90" t="s">
        <v>157</v>
      </c>
      <c r="G421" s="37" t="s">
        <v>142</v>
      </c>
      <c r="J421" s="88">
        <v>2</v>
      </c>
      <c r="K421" s="88">
        <v>2</v>
      </c>
      <c r="L421" s="88">
        <v>2</v>
      </c>
      <c r="M421" s="88">
        <v>2</v>
      </c>
      <c r="N421" s="88">
        <v>2</v>
      </c>
    </row>
    <row r="422" spans="3:14" s="90" customFormat="1" outlineLevel="1" x14ac:dyDescent="0.2"/>
    <row r="423" spans="3:14" s="90" customFormat="1" outlineLevel="1" x14ac:dyDescent="0.2"/>
    <row r="424" spans="3:14" s="90" customFormat="1" ht="16.5" outlineLevel="1" x14ac:dyDescent="0.25">
      <c r="C424" s="65" t="s">
        <v>112</v>
      </c>
    </row>
    <row r="425" spans="3:14" s="90" customFormat="1" outlineLevel="1" x14ac:dyDescent="0.2"/>
    <row r="426" spans="3:14" s="90" customFormat="1" ht="15" outlineLevel="1" x14ac:dyDescent="0.25">
      <c r="D426" s="5" t="str">
        <f>D256</f>
        <v>Interest Rate</v>
      </c>
    </row>
    <row r="427" spans="3:14" s="90" customFormat="1" outlineLevel="1" x14ac:dyDescent="0.2"/>
    <row r="428" spans="3:14" s="90" customFormat="1" outlineLevel="1" x14ac:dyDescent="0.2">
      <c r="E428" s="90" t="str">
        <f>D426</f>
        <v>Interest Rate</v>
      </c>
      <c r="G428" s="37" t="s">
        <v>111</v>
      </c>
      <c r="H428" s="35">
        <f>ROW(I258)</f>
        <v>258</v>
      </c>
      <c r="J428" s="85">
        <f>J258</f>
        <v>0.06</v>
      </c>
      <c r="K428" s="85">
        <f>K258</f>
        <v>0.06</v>
      </c>
      <c r="L428" s="85">
        <f>L258</f>
        <v>0.06</v>
      </c>
      <c r="M428" s="85">
        <f>M258</f>
        <v>0.06</v>
      </c>
      <c r="N428" s="85">
        <f>N258</f>
        <v>0.06</v>
      </c>
    </row>
    <row r="429" spans="3:14" s="90" customFormat="1" outlineLevel="1" x14ac:dyDescent="0.2"/>
    <row r="430" spans="3:14" s="90" customFormat="1" outlineLevel="1" x14ac:dyDescent="0.2"/>
    <row r="431" spans="3:14" s="90" customFormat="1" ht="15" outlineLevel="1" x14ac:dyDescent="0.25">
      <c r="D431" s="5" t="s">
        <v>144</v>
      </c>
    </row>
    <row r="432" spans="3:14" s="90" customFormat="1" outlineLevel="1" x14ac:dyDescent="0.2"/>
    <row r="433" spans="4:14" s="90" customFormat="1" outlineLevel="1" x14ac:dyDescent="0.2">
      <c r="E433" s="90" t="str">
        <f>D431</f>
        <v>Opening Debt Balance</v>
      </c>
      <c r="G433" s="37" t="str">
        <f>Currency</f>
        <v>$'000</v>
      </c>
      <c r="H433" s="35">
        <f>ROW(I37)</f>
        <v>37</v>
      </c>
      <c r="J433" s="73">
        <f>J37</f>
        <v>80</v>
      </c>
      <c r="K433" s="28"/>
      <c r="L433" s="28"/>
      <c r="M433" s="28"/>
      <c r="N433" s="28"/>
    </row>
    <row r="434" spans="4:14" s="90" customFormat="1" outlineLevel="1" x14ac:dyDescent="0.2"/>
    <row r="435" spans="4:14" s="90" customFormat="1" outlineLevel="1" x14ac:dyDescent="0.2"/>
    <row r="436" spans="4:14" s="90" customFormat="1" ht="15" outlineLevel="1" x14ac:dyDescent="0.25">
      <c r="D436" s="5" t="s">
        <v>143</v>
      </c>
    </row>
    <row r="437" spans="4:14" s="90" customFormat="1" outlineLevel="1" x14ac:dyDescent="0.2"/>
    <row r="438" spans="4:14" s="99" customFormat="1" outlineLevel="1" x14ac:dyDescent="0.2">
      <c r="E438" s="99" t="s">
        <v>146</v>
      </c>
      <c r="G438" s="37" t="str">
        <f>Currency</f>
        <v>$'000</v>
      </c>
      <c r="H438" s="35">
        <f>ROW(I453)</f>
        <v>453</v>
      </c>
      <c r="J438" s="73">
        <f>J453</f>
        <v>80</v>
      </c>
      <c r="K438" s="73">
        <f t="shared" ref="K438:N438" ca="1" si="98">K453</f>
        <v>34.208976285681189</v>
      </c>
      <c r="L438" s="73">
        <f t="shared" ca="1" si="98"/>
        <v>22.802018952347858</v>
      </c>
      <c r="M438" s="73">
        <f t="shared" ca="1" si="98"/>
        <v>12.887054017236744</v>
      </c>
      <c r="N438" s="73">
        <f t="shared" ca="1" si="98"/>
        <v>0</v>
      </c>
    </row>
    <row r="439" spans="4:14" s="99" customFormat="1" outlineLevel="1" x14ac:dyDescent="0.2"/>
    <row r="440" spans="4:14" s="90" customFormat="1" outlineLevel="1" x14ac:dyDescent="0.2">
      <c r="E440" s="76" t="str">
        <f>E244</f>
        <v>Cash Flow Available for Debt Servicing (CFADS)</v>
      </c>
      <c r="G440" s="37" t="str">
        <f>Currency</f>
        <v>$'000</v>
      </c>
      <c r="H440" s="35">
        <f>ROW(I244)</f>
        <v>244</v>
      </c>
      <c r="J440" s="73">
        <f ca="1">J244</f>
        <v>78.248000000000005</v>
      </c>
      <c r="K440" s="73">
        <f ca="1">K244</f>
        <v>22.813914666666669</v>
      </c>
      <c r="L440" s="73">
        <f ca="1">L244</f>
        <v>19.829929870222223</v>
      </c>
      <c r="M440" s="73">
        <f ca="1">M244</f>
        <v>13.611879345455407</v>
      </c>
      <c r="N440" s="73">
        <f ca="1">N244</f>
        <v>12.162228689018082</v>
      </c>
    </row>
    <row r="441" spans="4:14" s="90" customFormat="1" outlineLevel="1" x14ac:dyDescent="0.2"/>
    <row r="442" spans="4:14" s="90" customFormat="1" outlineLevel="1" x14ac:dyDescent="0.2">
      <c r="E442" s="90" t="str">
        <f>E356</f>
        <v>NPV of CFADS (forward looking)</v>
      </c>
      <c r="G442" s="37" t="str">
        <f>Currency</f>
        <v>$'000</v>
      </c>
      <c r="H442" s="91">
        <f>I413</f>
        <v>4.1999999999999996E-2</v>
      </c>
      <c r="J442" s="68">
        <f ca="1">(K440+K442)/(1+$J$413)</f>
        <v>68.417952571362378</v>
      </c>
      <c r="K442" s="68">
        <f t="shared" ref="K442:N442" ca="1" si="99">(L440+L442)/(1+$J$413)</f>
        <v>45.604037904695716</v>
      </c>
      <c r="L442" s="68">
        <f t="shared" ca="1" si="99"/>
        <v>25.774108034473489</v>
      </c>
      <c r="M442" s="68">
        <f t="shared" ca="1" si="99"/>
        <v>12.162228689018082</v>
      </c>
      <c r="N442" s="68">
        <f t="shared" si="99"/>
        <v>0</v>
      </c>
    </row>
    <row r="443" spans="4:14" s="90" customFormat="1" outlineLevel="1" x14ac:dyDescent="0.2"/>
    <row r="444" spans="4:14" s="90" customFormat="1" outlineLevel="1" x14ac:dyDescent="0.2">
      <c r="E444" s="90" t="str">
        <f>E421</f>
        <v>Target LLCR</v>
      </c>
      <c r="G444" s="37" t="s">
        <v>142</v>
      </c>
      <c r="H444" s="35">
        <f>ROW(I421)</f>
        <v>421</v>
      </c>
      <c r="J444" s="95">
        <f>J419*J421</f>
        <v>2</v>
      </c>
      <c r="K444" s="95">
        <f t="shared" ref="K444:N444" si="100">K419*K421</f>
        <v>2</v>
      </c>
      <c r="L444" s="95">
        <f t="shared" si="100"/>
        <v>2</v>
      </c>
      <c r="M444" s="95">
        <f t="shared" si="100"/>
        <v>2</v>
      </c>
      <c r="N444" s="95">
        <f t="shared" si="100"/>
        <v>0</v>
      </c>
    </row>
    <row r="445" spans="4:14" s="90" customFormat="1" outlineLevel="1" x14ac:dyDescent="0.2"/>
    <row r="446" spans="4:14" s="90" customFormat="1" ht="12.75" outlineLevel="1" thickBot="1" x14ac:dyDescent="0.25">
      <c r="E446" s="66" t="str">
        <f>E360</f>
        <v>Target Debt Balance</v>
      </c>
      <c r="G446" s="37" t="str">
        <f>Currency</f>
        <v>$'000</v>
      </c>
      <c r="J446" s="84">
        <f ca="1">IF(J$9&gt;=$H$418,,IF(J442&lt;=0,J438,IF(J444,J442/J444,)))</f>
        <v>34.208976285681189</v>
      </c>
      <c r="K446" s="84">
        <f ca="1">IF(K$9&gt;=$H$418,,IF(K442&lt;=0,K438,IF(K444,K442/K444,)))</f>
        <v>22.802018952347858</v>
      </c>
      <c r="L446" s="84">
        <f ca="1">IF(L$9&gt;=$H$418,,IF(L442&lt;=0,L438,IF(L444,L442/L444,)))</f>
        <v>12.887054017236744</v>
      </c>
      <c r="M446" s="84">
        <f>IF(M$9&gt;=$H$418,,IF(M442&lt;=0,M438,IF(M444,M442/M444,)))</f>
        <v>0</v>
      </c>
      <c r="N446" s="84">
        <f>IF(N$9&gt;=$H$418,,IF(N442&lt;=0,N438,IF(N444,N442/N444,)))</f>
        <v>0</v>
      </c>
    </row>
    <row r="447" spans="4:14" s="90" customFormat="1" ht="12.75" outlineLevel="1" thickTop="1" x14ac:dyDescent="0.2"/>
    <row r="448" spans="4:14" s="90" customFormat="1" outlineLevel="1" x14ac:dyDescent="0.2"/>
    <row r="449" spans="3:14" s="90" customFormat="1" ht="16.5" outlineLevel="1" x14ac:dyDescent="0.25">
      <c r="C449" s="65" t="s">
        <v>113</v>
      </c>
    </row>
    <row r="450" spans="3:14" s="90" customFormat="1" outlineLevel="1" x14ac:dyDescent="0.2"/>
    <row r="451" spans="3:14" s="90" customFormat="1" ht="15" outlineLevel="1" x14ac:dyDescent="0.25">
      <c r="D451" s="5" t="s">
        <v>145</v>
      </c>
    </row>
    <row r="452" spans="3:14" s="90" customFormat="1" outlineLevel="1" x14ac:dyDescent="0.2"/>
    <row r="453" spans="3:14" s="90" customFormat="1" outlineLevel="1" x14ac:dyDescent="0.2">
      <c r="E453" s="90" t="s">
        <v>146</v>
      </c>
      <c r="G453" s="37" t="str">
        <f>Currency</f>
        <v>$'000</v>
      </c>
      <c r="J453" s="69">
        <f>IF(J$9=1,$J$433,I456)</f>
        <v>80</v>
      </c>
      <c r="K453" s="69">
        <f ca="1">IF(K$9=1,$J$433,J456)</f>
        <v>34.208976285681189</v>
      </c>
      <c r="L453" s="69">
        <f ca="1">IF(L$9=1,$J$433,K456)</f>
        <v>22.802018952347858</v>
      </c>
      <c r="M453" s="69">
        <f ca="1">IF(M$9=1,$J$433,L456)</f>
        <v>12.887054017236744</v>
      </c>
      <c r="N453" s="69">
        <f ca="1">IF(N$9=1,$J$433,M456)</f>
        <v>0</v>
      </c>
    </row>
    <row r="454" spans="3:14" s="90" customFormat="1" outlineLevel="1" x14ac:dyDescent="0.2">
      <c r="E454" s="90" t="str">
        <f>F37</f>
        <v>Debt Drawdowns</v>
      </c>
      <c r="G454" s="37" t="str">
        <f>Currency</f>
        <v>$'000</v>
      </c>
      <c r="J454" s="69">
        <f>J37-J433</f>
        <v>0</v>
      </c>
      <c r="K454" s="69">
        <f>K37-K433</f>
        <v>0</v>
      </c>
      <c r="L454" s="69">
        <f>L37-L433</f>
        <v>0</v>
      </c>
      <c r="M454" s="69">
        <f>M37-M433</f>
        <v>0</v>
      </c>
      <c r="N454" s="69">
        <f>N37-N433</f>
        <v>0</v>
      </c>
    </row>
    <row r="455" spans="3:14" s="90" customFormat="1" outlineLevel="1" x14ac:dyDescent="0.2">
      <c r="E455" s="90" t="str">
        <f>F38</f>
        <v>Debt Repayments</v>
      </c>
      <c r="G455" s="37" t="str">
        <f>Currency</f>
        <v>$'000</v>
      </c>
      <c r="J455" s="69">
        <f ca="1">-J481</f>
        <v>-45.791023714318811</v>
      </c>
      <c r="K455" s="69">
        <f t="shared" ref="K455:N455" ca="1" si="101">-K481</f>
        <v>-11.406957333333331</v>
      </c>
      <c r="L455" s="69">
        <f t="shared" ca="1" si="101"/>
        <v>-9.9149649351111133</v>
      </c>
      <c r="M455" s="69">
        <f t="shared" ca="1" si="101"/>
        <v>-12.887054017236744</v>
      </c>
      <c r="N455" s="69">
        <f t="shared" ca="1" si="101"/>
        <v>0</v>
      </c>
    </row>
    <row r="456" spans="3:14" s="90" customFormat="1" outlineLevel="1" x14ac:dyDescent="0.2">
      <c r="E456" s="90" t="s">
        <v>147</v>
      </c>
      <c r="G456" s="37" t="str">
        <f>Currency</f>
        <v>$'000</v>
      </c>
      <c r="J456" s="80">
        <f ca="1">SUM(J453:J455)</f>
        <v>34.208976285681189</v>
      </c>
      <c r="K456" s="80">
        <f t="shared" ref="K456:N456" ca="1" si="102">SUM(K453:K455)</f>
        <v>22.802018952347858</v>
      </c>
      <c r="L456" s="80">
        <f t="shared" ca="1" si="102"/>
        <v>12.887054017236744</v>
      </c>
      <c r="M456" s="80">
        <f t="shared" ca="1" si="102"/>
        <v>0</v>
      </c>
      <c r="N456" s="80">
        <f t="shared" ca="1" si="102"/>
        <v>0</v>
      </c>
    </row>
    <row r="457" spans="3:14" s="90" customFormat="1" outlineLevel="1" x14ac:dyDescent="0.2"/>
    <row r="458" spans="3:14" s="100" customFormat="1" outlineLevel="1" x14ac:dyDescent="0.2">
      <c r="E458" s="100" t="s">
        <v>175</v>
      </c>
      <c r="G458" s="37" t="s">
        <v>161</v>
      </c>
      <c r="I458" s="102">
        <f ca="1">MIN(SUM(J458:N458),1)</f>
        <v>0</v>
      </c>
      <c r="J458" s="101">
        <f ca="1">($H$490=$E$499)*(J$9&gt;=$H$418)*(J456&lt;&gt;0)</f>
        <v>0</v>
      </c>
      <c r="K458" s="101">
        <f ca="1">($H$490=$E$499)*(K$9&gt;=$H$418)*(K456&lt;&gt;0)</f>
        <v>0</v>
      </c>
      <c r="L458" s="101">
        <f ca="1">($H$490=$E$499)*(L$9&gt;=$H$418)*(L456&lt;&gt;0)</f>
        <v>0</v>
      </c>
      <c r="M458" s="101">
        <f ca="1">($H$490=$E$499)*(M$9&gt;=$H$418)*(M456&lt;&gt;0)</f>
        <v>0</v>
      </c>
      <c r="N458" s="101">
        <f ca="1">($H$490=$E$499)*(N$9&gt;=$H$418)*(N456&lt;&gt;0)</f>
        <v>0</v>
      </c>
    </row>
    <row r="459" spans="3:14" s="100" customFormat="1" outlineLevel="1" x14ac:dyDescent="0.2"/>
    <row r="460" spans="3:14" s="90" customFormat="1" outlineLevel="1" x14ac:dyDescent="0.2"/>
    <row r="461" spans="3:14" s="90" customFormat="1" ht="15" outlineLevel="1" x14ac:dyDescent="0.25">
      <c r="D461" s="5" t="str">
        <f>F21</f>
        <v>Interest Paid</v>
      </c>
    </row>
    <row r="462" spans="3:14" s="90" customFormat="1" outlineLevel="1" x14ac:dyDescent="0.2"/>
    <row r="463" spans="3:14" s="90" customFormat="1" outlineLevel="1" x14ac:dyDescent="0.2">
      <c r="E463" s="90" t="str">
        <f>E453</f>
        <v>Opening Debt</v>
      </c>
      <c r="G463" s="37" t="str">
        <f>Currency</f>
        <v>$'000</v>
      </c>
      <c r="H463" s="35">
        <f>ROW(I453)</f>
        <v>453</v>
      </c>
      <c r="J463" s="69">
        <f>J453</f>
        <v>80</v>
      </c>
      <c r="K463" s="69">
        <f t="shared" ref="K463:N463" ca="1" si="103">K453</f>
        <v>34.208976285681189</v>
      </c>
      <c r="L463" s="69">
        <f t="shared" ca="1" si="103"/>
        <v>22.802018952347858</v>
      </c>
      <c r="M463" s="69">
        <f t="shared" ca="1" si="103"/>
        <v>12.887054017236744</v>
      </c>
      <c r="N463" s="69">
        <f t="shared" ca="1" si="103"/>
        <v>0</v>
      </c>
    </row>
    <row r="464" spans="3:14" s="90" customFormat="1" outlineLevel="1" x14ac:dyDescent="0.2">
      <c r="E464" s="90" t="str">
        <f>E428</f>
        <v>Interest Rate</v>
      </c>
      <c r="G464" s="37" t="s">
        <v>111</v>
      </c>
      <c r="H464" s="35">
        <f>ROW(I428)</f>
        <v>428</v>
      </c>
      <c r="J464" s="81">
        <f>J428</f>
        <v>0.06</v>
      </c>
      <c r="K464" s="81">
        <f t="shared" ref="K464:N464" si="104">K428</f>
        <v>0.06</v>
      </c>
      <c r="L464" s="81">
        <f t="shared" si="104"/>
        <v>0.06</v>
      </c>
      <c r="M464" s="81">
        <f t="shared" si="104"/>
        <v>0.06</v>
      </c>
      <c r="N464" s="81">
        <f t="shared" si="104"/>
        <v>0.06</v>
      </c>
    </row>
    <row r="465" spans="4:14" s="90" customFormat="1" outlineLevel="1" x14ac:dyDescent="0.2"/>
    <row r="466" spans="4:14" s="90" customFormat="1" outlineLevel="1" x14ac:dyDescent="0.2">
      <c r="E466" s="90" t="str">
        <f>D461</f>
        <v>Interest Paid</v>
      </c>
      <c r="G466" s="37" t="str">
        <f>Currency</f>
        <v>$'000</v>
      </c>
      <c r="J466" s="82">
        <f>MAX(J463*J464,)</f>
        <v>4.8</v>
      </c>
      <c r="K466" s="82">
        <f t="shared" ref="K466:N466" ca="1" si="105">MAX(K463*K464,)</f>
        <v>2.0525385771408713</v>
      </c>
      <c r="L466" s="82">
        <f t="shared" ca="1" si="105"/>
        <v>1.3681211371408715</v>
      </c>
      <c r="M466" s="82">
        <f t="shared" ca="1" si="105"/>
        <v>0.77322324103420459</v>
      </c>
      <c r="N466" s="82">
        <f t="shared" ca="1" si="105"/>
        <v>0</v>
      </c>
    </row>
    <row r="467" spans="4:14" s="90" customFormat="1" outlineLevel="1" x14ac:dyDescent="0.2"/>
    <row r="468" spans="4:14" s="90" customFormat="1" outlineLevel="1" x14ac:dyDescent="0.2"/>
    <row r="469" spans="4:14" s="90" customFormat="1" ht="15" outlineLevel="1" x14ac:dyDescent="0.25">
      <c r="D469" s="5" t="s">
        <v>148</v>
      </c>
    </row>
    <row r="470" spans="4:14" s="90" customFormat="1" outlineLevel="1" x14ac:dyDescent="0.2"/>
    <row r="471" spans="4:14" s="90" customFormat="1" outlineLevel="1" x14ac:dyDescent="0.2">
      <c r="E471" s="90" t="str">
        <f>E456</f>
        <v>Closing Debt</v>
      </c>
      <c r="G471" s="37" t="str">
        <f>Currency</f>
        <v>$'000</v>
      </c>
      <c r="H471" s="35">
        <f>ROW(I446)</f>
        <v>446</v>
      </c>
      <c r="J471" s="69">
        <f ca="1">-J446</f>
        <v>-34.208976285681189</v>
      </c>
      <c r="K471" s="69">
        <f t="shared" ref="K471:N471" ca="1" si="106">-K446</f>
        <v>-22.802018952347858</v>
      </c>
      <c r="L471" s="69">
        <f t="shared" ca="1" si="106"/>
        <v>-12.887054017236744</v>
      </c>
      <c r="M471" s="69">
        <f t="shared" si="106"/>
        <v>0</v>
      </c>
      <c r="N471" s="69">
        <f t="shared" si="106"/>
        <v>0</v>
      </c>
    </row>
    <row r="472" spans="4:14" s="90" customFormat="1" outlineLevel="1" x14ac:dyDescent="0.2">
      <c r="E472" s="90" t="str">
        <f>E386</f>
        <v>Opening Debt Plus Debt Drawdowns</v>
      </c>
      <c r="G472" s="37" t="str">
        <f>Currency</f>
        <v>$'000</v>
      </c>
      <c r="H472" s="35">
        <f>ROW(I466)</f>
        <v>466</v>
      </c>
      <c r="J472" s="69">
        <f>SUM(J453:J454)</f>
        <v>80</v>
      </c>
      <c r="K472" s="69">
        <f t="shared" ref="K472:N472" ca="1" si="107">SUM(K453:K454)</f>
        <v>34.208976285681189</v>
      </c>
      <c r="L472" s="69">
        <f t="shared" ca="1" si="107"/>
        <v>22.802018952347858</v>
      </c>
      <c r="M472" s="69">
        <f t="shared" ca="1" si="107"/>
        <v>12.887054017236744</v>
      </c>
      <c r="N472" s="69">
        <f t="shared" ca="1" si="107"/>
        <v>0</v>
      </c>
    </row>
    <row r="473" spans="4:14" s="90" customFormat="1" outlineLevel="1" x14ac:dyDescent="0.2">
      <c r="E473" s="90" t="str">
        <f>"Unrestricted "&amp;D469</f>
        <v>Unrestricted Principal Paid</v>
      </c>
      <c r="G473" s="37" t="str">
        <f>Currency</f>
        <v>$'000</v>
      </c>
      <c r="J473" s="82">
        <f ca="1">MAX(SUM(J471:J472),)</f>
        <v>45.791023714318811</v>
      </c>
      <c r="K473" s="82">
        <f t="shared" ref="K473:N473" ca="1" si="108">MAX(SUM(K471:K472),)</f>
        <v>11.406957333333331</v>
      </c>
      <c r="L473" s="82">
        <f t="shared" ca="1" si="108"/>
        <v>9.9149649351111133</v>
      </c>
      <c r="M473" s="82">
        <f t="shared" ca="1" si="108"/>
        <v>12.887054017236744</v>
      </c>
      <c r="N473" s="82">
        <f t="shared" ca="1" si="108"/>
        <v>0</v>
      </c>
    </row>
    <row r="474" spans="4:14" s="90" customFormat="1" outlineLevel="1" x14ac:dyDescent="0.2"/>
    <row r="475" spans="4:14" s="90" customFormat="1" outlineLevel="1" x14ac:dyDescent="0.2">
      <c r="E475" s="76" t="str">
        <f>E440</f>
        <v>Cash Flow Available for Debt Servicing (CFADS)</v>
      </c>
      <c r="G475" s="37" t="str">
        <f>Currency</f>
        <v>$'000</v>
      </c>
      <c r="H475" s="35">
        <f>ROW(I440)</f>
        <v>440</v>
      </c>
      <c r="J475" s="69">
        <f ca="1">J440</f>
        <v>78.248000000000005</v>
      </c>
      <c r="K475" s="69">
        <f t="shared" ref="K475:N475" ca="1" si="109">K440</f>
        <v>22.813914666666669</v>
      </c>
      <c r="L475" s="69">
        <f t="shared" ca="1" si="109"/>
        <v>19.829929870222223</v>
      </c>
      <c r="M475" s="69">
        <f t="shared" ca="1" si="109"/>
        <v>13.611879345455407</v>
      </c>
      <c r="N475" s="69">
        <f t="shared" ca="1" si="109"/>
        <v>12.162228689018082</v>
      </c>
    </row>
    <row r="476" spans="4:14" s="90" customFormat="1" outlineLevel="1" x14ac:dyDescent="0.2">
      <c r="E476" s="90" t="str">
        <f>"Post-Tax "&amp;E466</f>
        <v>Post-Tax Interest Paid</v>
      </c>
      <c r="G476" s="37" t="str">
        <f>Currency</f>
        <v>$'000</v>
      </c>
      <c r="H476" s="35">
        <f>ROW(I466)</f>
        <v>466</v>
      </c>
      <c r="J476" s="69">
        <f>-J466*(1-$H$118)</f>
        <v>-3.36</v>
      </c>
      <c r="K476" s="69">
        <f t="shared" ref="K476:N476" ca="1" si="110">-K466*(1-$H$118)</f>
        <v>-1.4367770039986099</v>
      </c>
      <c r="L476" s="69">
        <f t="shared" ca="1" si="110"/>
        <v>-0.95768479599861001</v>
      </c>
      <c r="M476" s="69">
        <f t="shared" ca="1" si="110"/>
        <v>-0.54125626872394317</v>
      </c>
      <c r="N476" s="69">
        <f t="shared" ca="1" si="110"/>
        <v>0</v>
      </c>
    </row>
    <row r="477" spans="4:14" s="90" customFormat="1" outlineLevel="1" x14ac:dyDescent="0.2">
      <c r="E477" s="90" t="s">
        <v>149</v>
      </c>
      <c r="G477" s="37" t="str">
        <f>Currency</f>
        <v>$'000</v>
      </c>
      <c r="J477" s="82">
        <f ca="1">MAX(SUM(J475:J476),)</f>
        <v>74.888000000000005</v>
      </c>
      <c r="K477" s="82">
        <f t="shared" ref="K477:N477" ca="1" si="111">MAX(SUM(K475:K476),)</f>
        <v>21.377137662668058</v>
      </c>
      <c r="L477" s="82">
        <f t="shared" ca="1" si="111"/>
        <v>18.872245074223613</v>
      </c>
      <c r="M477" s="82">
        <f t="shared" ca="1" si="111"/>
        <v>13.070623076731463</v>
      </c>
      <c r="N477" s="82">
        <f t="shared" ca="1" si="111"/>
        <v>12.162228689018082</v>
      </c>
    </row>
    <row r="478" spans="4:14" s="90" customFormat="1" outlineLevel="1" x14ac:dyDescent="0.2"/>
    <row r="479" spans="4:14" s="90" customFormat="1" outlineLevel="1" x14ac:dyDescent="0.2">
      <c r="E479" s="90" t="str">
        <f>E463</f>
        <v>Opening Debt</v>
      </c>
      <c r="G479" s="37" t="str">
        <f>Currency</f>
        <v>$'000</v>
      </c>
      <c r="H479" s="35">
        <f>ROW(I453)</f>
        <v>453</v>
      </c>
      <c r="J479" s="69">
        <f>J453</f>
        <v>80</v>
      </c>
      <c r="K479" s="69">
        <f t="shared" ref="K479:N479" ca="1" si="112">K453</f>
        <v>34.208976285681189</v>
      </c>
      <c r="L479" s="69">
        <f t="shared" ca="1" si="112"/>
        <v>22.802018952347858</v>
      </c>
      <c r="M479" s="69">
        <f ca="1">M453</f>
        <v>12.887054017236744</v>
      </c>
      <c r="N479" s="69">
        <f t="shared" ca="1" si="112"/>
        <v>0</v>
      </c>
    </row>
    <row r="480" spans="4:14" s="90" customFormat="1" outlineLevel="1" x14ac:dyDescent="0.2"/>
    <row r="481" spans="2:15" s="90" customFormat="1" outlineLevel="1" x14ac:dyDescent="0.2">
      <c r="E481" s="90" t="str">
        <f>D469</f>
        <v>Principal Paid</v>
      </c>
      <c r="G481" s="37" t="str">
        <f>Currency</f>
        <v>$'000</v>
      </c>
      <c r="J481" s="80">
        <f ca="1">MIN(J473,J477,J479)</f>
        <v>45.791023714318811</v>
      </c>
      <c r="K481" s="80">
        <f t="shared" ref="K481:N481" ca="1" si="113">MIN(K473,K477,K479)</f>
        <v>11.406957333333331</v>
      </c>
      <c r="L481" s="80">
        <f t="shared" ca="1" si="113"/>
        <v>9.9149649351111133</v>
      </c>
      <c r="M481" s="80">
        <f t="shared" ca="1" si="113"/>
        <v>12.887054017236744</v>
      </c>
      <c r="N481" s="80">
        <f t="shared" ca="1" si="113"/>
        <v>0</v>
      </c>
    </row>
    <row r="482" spans="2:15" s="90" customFormat="1" outlineLevel="1" x14ac:dyDescent="0.2"/>
    <row r="483" spans="2:15" s="90" customFormat="1" outlineLevel="1" x14ac:dyDescent="0.2"/>
    <row r="484" spans="2:15" s="90" customFormat="1" ht="16.5" thickBot="1" x14ac:dyDescent="0.3">
      <c r="B484" s="52">
        <f>MAX($B$10:$B483)+1</f>
        <v>11</v>
      </c>
      <c r="C484" s="46" t="str">
        <f>"Debt Sculpting: "&amp;IF(ISBLANK($H$490),E497,$H$490)&amp;" Selected"</f>
        <v>Debt Sculpting: DSCR Selected</v>
      </c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2:15" s="90" customFormat="1" ht="12.75" outlineLevel="1" thickTop="1" x14ac:dyDescent="0.2"/>
    <row r="486" spans="2:15" s="90" customFormat="1" ht="16.5" outlineLevel="1" x14ac:dyDescent="0.25">
      <c r="C486" s="65" t="s">
        <v>68</v>
      </c>
    </row>
    <row r="487" spans="2:15" s="90" customFormat="1" outlineLevel="1" x14ac:dyDescent="0.2"/>
    <row r="488" spans="2:15" s="90" customFormat="1" ht="15" outlineLevel="1" x14ac:dyDescent="0.25">
      <c r="D488" s="5" t="s">
        <v>162</v>
      </c>
    </row>
    <row r="489" spans="2:15" outlineLevel="1" x14ac:dyDescent="0.2"/>
    <row r="490" spans="2:15" outlineLevel="1" x14ac:dyDescent="0.2">
      <c r="E490" t="str">
        <f>D488</f>
        <v>Method Selected</v>
      </c>
      <c r="H490" s="87" t="s">
        <v>163</v>
      </c>
    </row>
    <row r="491" spans="2:15" outlineLevel="1" x14ac:dyDescent="0.2"/>
    <row r="492" spans="2:15" outlineLevel="1" x14ac:dyDescent="0.2"/>
    <row r="493" spans="2:15" ht="16.5" outlineLevel="1" x14ac:dyDescent="0.25">
      <c r="C493" s="65" t="s">
        <v>112</v>
      </c>
    </row>
    <row r="494" spans="2:15" outlineLevel="1" x14ac:dyDescent="0.2"/>
    <row r="495" spans="2:15" ht="15" outlineLevel="1" x14ac:dyDescent="0.25">
      <c r="D495" s="5" t="s">
        <v>166</v>
      </c>
    </row>
    <row r="496" spans="2:15" outlineLevel="1" x14ac:dyDescent="0.2"/>
    <row r="497" spans="4:14" outlineLevel="1" x14ac:dyDescent="0.2">
      <c r="E497" t="s">
        <v>163</v>
      </c>
      <c r="G497" s="37" t="str">
        <f>Currency</f>
        <v>$'000</v>
      </c>
      <c r="H497" s="35">
        <f>ROW(I312)</f>
        <v>312</v>
      </c>
      <c r="J497" s="69">
        <f ca="1">J312</f>
        <v>48.805333333333337</v>
      </c>
      <c r="K497" s="69">
        <f ca="1">K312</f>
        <v>13.899100444444446</v>
      </c>
      <c r="L497" s="69">
        <f ca="1">L312</f>
        <v>12.493539465481483</v>
      </c>
      <c r="M497" s="69">
        <f ca="1">M312</f>
        <v>4.8020267567407338</v>
      </c>
      <c r="N497" s="69">
        <f ca="1">N312</f>
        <v>0</v>
      </c>
    </row>
    <row r="498" spans="4:14" outlineLevel="1" x14ac:dyDescent="0.2">
      <c r="E498" t="s">
        <v>164</v>
      </c>
      <c r="G498" s="37" t="str">
        <f>Currency</f>
        <v>$'000</v>
      </c>
      <c r="H498" s="35">
        <f>ROW(I395)</f>
        <v>395</v>
      </c>
      <c r="J498" s="69">
        <f ca="1">J395</f>
        <v>44.282270906470487</v>
      </c>
      <c r="K498" s="69">
        <f t="shared" ref="K498:N498" ca="1" si="114">K395</f>
        <v>11.536378044738424</v>
      </c>
      <c r="L498" s="69">
        <f t="shared" ca="1" si="114"/>
        <v>10.315771753220618</v>
      </c>
      <c r="M498" s="69">
        <f t="shared" ca="1" si="114"/>
        <v>7.1958624384176986</v>
      </c>
      <c r="N498" s="69">
        <f t="shared" ca="1" si="114"/>
        <v>6.669716857152773</v>
      </c>
    </row>
    <row r="499" spans="4:14" outlineLevel="1" x14ac:dyDescent="0.2">
      <c r="E499" t="s">
        <v>165</v>
      </c>
      <c r="G499" s="37" t="str">
        <f>Currency</f>
        <v>$'000</v>
      </c>
      <c r="H499" s="35">
        <f>ROW(I481)</f>
        <v>481</v>
      </c>
      <c r="J499" s="69">
        <f ca="1">J481</f>
        <v>45.791023714318811</v>
      </c>
      <c r="K499" s="69">
        <f t="shared" ref="K499:N499" ca="1" si="115">K481</f>
        <v>11.406957333333331</v>
      </c>
      <c r="L499" s="69">
        <f t="shared" ca="1" si="115"/>
        <v>9.9149649351111133</v>
      </c>
      <c r="M499" s="69">
        <f t="shared" ca="1" si="115"/>
        <v>12.887054017236744</v>
      </c>
      <c r="N499" s="69">
        <f t="shared" ca="1" si="115"/>
        <v>0</v>
      </c>
    </row>
    <row r="500" spans="4:14" outlineLevel="1" x14ac:dyDescent="0.2"/>
    <row r="501" spans="4:14" outlineLevel="1" x14ac:dyDescent="0.2">
      <c r="E501" t="str">
        <f>"Choice Made: "&amp;IF(ISBLANK($H$490),$E497,$H$490)</f>
        <v>Choice Made: DSCR</v>
      </c>
      <c r="G501" s="37" t="str">
        <f>Currency</f>
        <v>$'000</v>
      </c>
      <c r="J501" s="82">
        <f ca="1">INDEX(J$497:J$499,MATCH(IF(ISBLANK($H$490),$E$497,$H$490),$E$497:$E$499,0))</f>
        <v>48.805333333333337</v>
      </c>
      <c r="K501" s="82">
        <f ca="1">INDEX(K$497:K$499,MATCH(IF(ISBLANK($H$490),$E$497,$H$490),$E$497:$E$499,0))</f>
        <v>13.899100444444446</v>
      </c>
      <c r="L501" s="82">
        <f ca="1">INDEX(L$497:L$499,MATCH(IF(ISBLANK($H$490),$E$497,$H$490),$E$497:$E$499,0))</f>
        <v>12.493539465481483</v>
      </c>
      <c r="M501" s="82">
        <f ca="1">INDEX(M$497:M$499,MATCH(IF(ISBLANK($H$490),$E$497,$H$490),$E$497:$E$499,0))</f>
        <v>4.8020267567407338</v>
      </c>
      <c r="N501" s="82">
        <f ca="1">INDEX(N$497:N$499,MATCH(IF(ISBLANK($H$490),$E$497,$H$490),$E$497:$E$499,0))</f>
        <v>0</v>
      </c>
    </row>
    <row r="502" spans="4:14" outlineLevel="1" x14ac:dyDescent="0.2"/>
    <row r="503" spans="4:14" outlineLevel="1" x14ac:dyDescent="0.2"/>
    <row r="504" spans="4:14" s="90" customFormat="1" ht="15" outlineLevel="1" x14ac:dyDescent="0.25">
      <c r="D504" s="5" t="s">
        <v>167</v>
      </c>
    </row>
    <row r="505" spans="4:14" s="90" customFormat="1" outlineLevel="1" x14ac:dyDescent="0.2"/>
    <row r="506" spans="4:14" s="90" customFormat="1" outlineLevel="1" x14ac:dyDescent="0.2">
      <c r="E506" s="90" t="s">
        <v>163</v>
      </c>
      <c r="G506" s="37" t="str">
        <f>Currency</f>
        <v>$'000</v>
      </c>
      <c r="H506" s="35">
        <f>ROW(I297)</f>
        <v>297</v>
      </c>
      <c r="J506" s="69">
        <f>J297</f>
        <v>4.8</v>
      </c>
      <c r="K506" s="69">
        <f ca="1">K297</f>
        <v>1.8716799999999998</v>
      </c>
      <c r="L506" s="69">
        <f ca="1">L297</f>
        <v>1.0377339733333331</v>
      </c>
      <c r="M506" s="69">
        <f ca="1">M297</f>
        <v>0.28812160540444404</v>
      </c>
      <c r="N506" s="69">
        <f ca="1">N297</f>
        <v>0</v>
      </c>
    </row>
    <row r="507" spans="4:14" s="90" customFormat="1" outlineLevel="1" x14ac:dyDescent="0.2">
      <c r="E507" s="90" t="s">
        <v>164</v>
      </c>
      <c r="G507" s="37" t="str">
        <f>Currency</f>
        <v>$'000</v>
      </c>
      <c r="H507" s="35">
        <f>ROW(I380)</f>
        <v>380</v>
      </c>
      <c r="J507" s="69">
        <f>J380</f>
        <v>4.8</v>
      </c>
      <c r="K507" s="69">
        <f ca="1">K380</f>
        <v>2.1430637456117707</v>
      </c>
      <c r="L507" s="69">
        <f ca="1">L380</f>
        <v>1.4508810629274653</v>
      </c>
      <c r="M507" s="69">
        <f ca="1">M380</f>
        <v>0.83193475773422831</v>
      </c>
      <c r="N507" s="69">
        <f ca="1">N380</f>
        <v>0.40018301142916635</v>
      </c>
    </row>
    <row r="508" spans="4:14" s="90" customFormat="1" outlineLevel="1" x14ac:dyDescent="0.2">
      <c r="E508" s="90" t="s">
        <v>165</v>
      </c>
      <c r="G508" s="37" t="str">
        <f>Currency</f>
        <v>$'000</v>
      </c>
      <c r="H508" s="35">
        <f>ROW(I466)</f>
        <v>466</v>
      </c>
      <c r="J508" s="69">
        <f>J466</f>
        <v>4.8</v>
      </c>
      <c r="K508" s="69">
        <f t="shared" ref="K508:N508" ca="1" si="116">K466</f>
        <v>2.0525385771408713</v>
      </c>
      <c r="L508" s="69">
        <f t="shared" ca="1" si="116"/>
        <v>1.3681211371408715</v>
      </c>
      <c r="M508" s="69">
        <f t="shared" ca="1" si="116"/>
        <v>0.77322324103420459</v>
      </c>
      <c r="N508" s="69">
        <f t="shared" ca="1" si="116"/>
        <v>0</v>
      </c>
    </row>
    <row r="509" spans="4:14" s="90" customFormat="1" outlineLevel="1" x14ac:dyDescent="0.2"/>
    <row r="510" spans="4:14" s="90" customFormat="1" outlineLevel="1" x14ac:dyDescent="0.2">
      <c r="E510" s="90" t="str">
        <f>"Choice Made: "&amp;IF(ISBLANK($H$490),$E506,$H$490)</f>
        <v>Choice Made: DSCR</v>
      </c>
      <c r="G510" s="37" t="str">
        <f>Currency</f>
        <v>$'000</v>
      </c>
      <c r="J510" s="82">
        <f>INDEX(J$506:J$508,MATCH(IF(ISBLANK($H$490),$E$506,$H$490),$E$506:$E$508,0))</f>
        <v>4.8</v>
      </c>
      <c r="K510" s="82">
        <f t="shared" ref="K510:N510" ca="1" si="117">INDEX(K$506:K$508,MATCH(IF(ISBLANK($H$490),$E$506,$H$490),$E$506:$E$508,0))</f>
        <v>1.8716799999999998</v>
      </c>
      <c r="L510" s="82">
        <f t="shared" ca="1" si="117"/>
        <v>1.0377339733333331</v>
      </c>
      <c r="M510" s="82">
        <f t="shared" ca="1" si="117"/>
        <v>0.28812160540444404</v>
      </c>
      <c r="N510" s="82">
        <f t="shared" ca="1" si="117"/>
        <v>0</v>
      </c>
    </row>
    <row r="511" spans="4:14" outlineLevel="1" x14ac:dyDescent="0.2"/>
    <row r="512" spans="4:14" outlineLevel="1" x14ac:dyDescent="0.2"/>
  </sheetData>
  <mergeCells count="7">
    <mergeCell ref="E70:F70"/>
    <mergeCell ref="I1:J1"/>
    <mergeCell ref="A3:E3"/>
    <mergeCell ref="E66:F66"/>
    <mergeCell ref="E67:F67"/>
    <mergeCell ref="E68:F68"/>
    <mergeCell ref="E69:F69"/>
  </mergeCells>
  <conditionalFormatting sqref="G4">
    <cfRule type="cellIs" dxfId="17" priority="11" operator="notEqual">
      <formula>0</formula>
    </cfRule>
  </conditionalFormatting>
  <conditionalFormatting sqref="J419:N419">
    <cfRule type="cellIs" dxfId="16" priority="10" operator="equal">
      <formula>0</formula>
    </cfRule>
  </conditionalFormatting>
  <conditionalFormatting sqref="J421:N421">
    <cfRule type="expression" dxfId="15" priority="9">
      <formula>J419=0</formula>
    </cfRule>
  </conditionalFormatting>
  <conditionalFormatting sqref="J497:N497">
    <cfRule type="expression" dxfId="14" priority="8">
      <formula>OR($E497=$H$490,ISBLANK($H$490))</formula>
    </cfRule>
  </conditionalFormatting>
  <conditionalFormatting sqref="J498:N499">
    <cfRule type="expression" dxfId="13" priority="7">
      <formula>$E498=$H$490</formula>
    </cfRule>
  </conditionalFormatting>
  <conditionalFormatting sqref="J506:N506">
    <cfRule type="expression" dxfId="12" priority="6">
      <formula>OR($E506=$H$490,ISBLANK($H$490))</formula>
    </cfRule>
  </conditionalFormatting>
  <conditionalFormatting sqref="J507:N508">
    <cfRule type="expression" dxfId="11" priority="5">
      <formula>$E507=$H$490</formula>
    </cfRule>
  </conditionalFormatting>
  <conditionalFormatting sqref="J458:N458">
    <cfRule type="cellIs" dxfId="10" priority="4" operator="notEqual">
      <formula>0</formula>
    </cfRule>
  </conditionalFormatting>
  <conditionalFormatting sqref="I458">
    <cfRule type="cellIs" dxfId="9" priority="3" operator="notEqual">
      <formula>0</formula>
    </cfRule>
  </conditionalFormatting>
  <conditionalFormatting sqref="J372:N372">
    <cfRule type="cellIs" dxfId="8" priority="2" operator="notEqual">
      <formula>0</formula>
    </cfRule>
  </conditionalFormatting>
  <conditionalFormatting sqref="I372">
    <cfRule type="cellIs" dxfId="7" priority="1" operator="notEqual">
      <formula>0</formula>
    </cfRule>
  </conditionalFormatting>
  <dataValidations count="3">
    <dataValidation type="list" allowBlank="1" showInputMessage="1" showErrorMessage="1" sqref="I239" xr:uid="{00000000-0002-0000-0400-000000000000}">
      <formula1>LU_Include_or_Exclude</formula1>
    </dataValidation>
    <dataValidation type="list" allowBlank="1" showInputMessage="1" showErrorMessage="1" sqref="H418" xr:uid="{00000000-0002-0000-0400-000001000000}">
      <formula1>$J$9:$N$9</formula1>
    </dataValidation>
    <dataValidation type="list" allowBlank="1" showInputMessage="1" showErrorMessage="1" sqref="H490" xr:uid="{00000000-0002-0000-0400-000002000000}">
      <formula1>"DSCR,PLCR,LLCR"</formula1>
    </dataValidation>
  </dataValidations>
  <hyperlinks>
    <hyperlink ref="G4" location="Overall_Error_Check" tooltip="Go to Overall Error Check" display="Overall_Error_Check" xr:uid="{00000000-0004-0000-0400-000000000000}"/>
    <hyperlink ref="A3:E3" location="HL_Navigator" tooltip="Go to Navigator (Table of Contents)" display="Navigator" xr:uid="{00000000-0004-0000-0400-000001000000}"/>
    <hyperlink ref="A3" location="HL_Navigator" display="Navigator" xr:uid="{00000000-0004-0000-0400-000002000000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 summaryRight="0"/>
  </sheetPr>
  <dimension ref="A1:K14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5" width="3.7109375" customWidth="1"/>
    <col min="6" max="6" width="16" bestFit="1" customWidth="1"/>
  </cols>
  <sheetData>
    <row r="1" spans="1:11" s="64" customFormat="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Lookup Data</v>
      </c>
      <c r="I1" s="107"/>
      <c r="J1" s="107"/>
    </row>
    <row r="2" spans="1:11" s="64" customFormat="1" ht="18" x14ac:dyDescent="0.25">
      <c r="A2" s="51" t="str">
        <f ca="1">Model_Name</f>
        <v>Chapter 6.1 - SP Debt Sculpting Example.xlsx</v>
      </c>
    </row>
    <row r="3" spans="1:11" s="64" customFormat="1" x14ac:dyDescent="0.2">
      <c r="A3" s="107" t="s">
        <v>1</v>
      </c>
      <c r="B3" s="107"/>
      <c r="C3" s="107"/>
      <c r="D3" s="107"/>
      <c r="E3" s="107"/>
    </row>
    <row r="4" spans="1:11" s="64" customFormat="1" ht="14.25" x14ac:dyDescent="0.2">
      <c r="B4" s="64" t="s">
        <v>2</v>
      </c>
      <c r="G4" s="1">
        <f ca="1">Overall_Error_Check</f>
        <v>0</v>
      </c>
    </row>
    <row r="5" spans="1:11" s="64" customFormat="1" x14ac:dyDescent="0.2"/>
    <row r="6" spans="1:11" s="64" customFormat="1" ht="16.5" thickBot="1" x14ac:dyDescent="0.3">
      <c r="B6" s="52">
        <f>MAX($B$5:$B5)+1</f>
        <v>1</v>
      </c>
      <c r="C6" s="3" t="s">
        <v>131</v>
      </c>
      <c r="D6" s="3"/>
      <c r="E6" s="3"/>
      <c r="F6" s="3"/>
      <c r="G6" s="3"/>
      <c r="H6" s="3"/>
      <c r="I6" s="3"/>
      <c r="J6" s="3"/>
      <c r="K6" s="3"/>
    </row>
    <row r="7" spans="1:11" s="64" customFormat="1" ht="12.75" outlineLevel="1" thickTop="1" x14ac:dyDescent="0.2"/>
    <row r="8" spans="1:11" s="64" customFormat="1" ht="16.5" outlineLevel="1" x14ac:dyDescent="0.25">
      <c r="C8" s="4" t="str">
        <f ca="1">$A$1</f>
        <v>Lookup Data</v>
      </c>
    </row>
    <row r="9" spans="1:11" outlineLevel="1" x14ac:dyDescent="0.2"/>
    <row r="10" spans="1:11" outlineLevel="1" x14ac:dyDescent="0.2">
      <c r="F10" s="63" t="str">
        <f>C6</f>
        <v>Include or Exclude</v>
      </c>
    </row>
    <row r="11" spans="1:11" outlineLevel="1" x14ac:dyDescent="0.2">
      <c r="F11" s="87" t="s">
        <v>133</v>
      </c>
      <c r="H11" s="34" t="s">
        <v>134</v>
      </c>
    </row>
    <row r="12" spans="1:11" outlineLevel="1" x14ac:dyDescent="0.2">
      <c r="F12" s="87" t="s">
        <v>132</v>
      </c>
    </row>
    <row r="13" spans="1:11" outlineLevel="1" x14ac:dyDescent="0.2"/>
    <row r="14" spans="1:11" outlineLevel="1" x14ac:dyDescent="0.2"/>
  </sheetData>
  <mergeCells count="2">
    <mergeCell ref="I1:J1"/>
    <mergeCell ref="A3:E3"/>
  </mergeCells>
  <conditionalFormatting sqref="G4">
    <cfRule type="cellIs" dxfId="6" priority="1" operator="notEqual">
      <formula>0</formula>
    </cfRule>
  </conditionalFormatting>
  <hyperlinks>
    <hyperlink ref="G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outlinePr summaryBelow="0"/>
  </sheetPr>
  <dimension ref="A1:O23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14" width="10.7109375" customWidth="1"/>
  </cols>
  <sheetData>
    <row r="1" spans="1:15" s="42" customFormat="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Timing</v>
      </c>
      <c r="I1" s="107"/>
      <c r="J1" s="107"/>
    </row>
    <row r="2" spans="1:15" s="42" customFormat="1" ht="18" x14ac:dyDescent="0.25">
      <c r="A2" s="51" t="str">
        <f ca="1">Model_Name</f>
        <v>Chapter 6.1 - SP Debt Sculpting Example.xlsx</v>
      </c>
    </row>
    <row r="3" spans="1:15" s="42" customFormat="1" x14ac:dyDescent="0.2">
      <c r="A3" s="107" t="s">
        <v>1</v>
      </c>
      <c r="B3" s="107"/>
      <c r="C3" s="107"/>
      <c r="D3" s="107"/>
      <c r="E3" s="107"/>
    </row>
    <row r="4" spans="1:15" s="42" customFormat="1" ht="14.25" x14ac:dyDescent="0.2">
      <c r="B4" s="42" t="s">
        <v>2</v>
      </c>
      <c r="F4" s="1">
        <f ca="1">Overall_Error_Check</f>
        <v>0</v>
      </c>
    </row>
    <row r="5" spans="1:15" s="2" customFormat="1" x14ac:dyDescent="0.2">
      <c r="J5" s="44">
        <f ca="1">J$7</f>
        <v>44561</v>
      </c>
      <c r="K5" s="44">
        <f ca="1">K$7</f>
        <v>44926</v>
      </c>
      <c r="L5" s="44">
        <f ca="1">L$7</f>
        <v>45291</v>
      </c>
      <c r="M5" s="44">
        <f ca="1">M$7</f>
        <v>45657</v>
      </c>
      <c r="N5" s="44">
        <f ca="1">N$7</f>
        <v>46022</v>
      </c>
    </row>
    <row r="6" spans="1:15" s="42" customFormat="1" outlineLevel="1" x14ac:dyDescent="0.2">
      <c r="C6" s="2" t="s">
        <v>71</v>
      </c>
      <c r="J6" s="43">
        <f ca="1">IF(J$9=1,Model_Start_Date,I$7+1)</f>
        <v>44197</v>
      </c>
      <c r="K6" s="43">
        <f ca="1">IF(K$9=1,Model_Start_Date,J$7+1)</f>
        <v>44562</v>
      </c>
      <c r="L6" s="43">
        <f ca="1">IF(L$9=1,Model_Start_Date,K$7+1)</f>
        <v>44927</v>
      </c>
      <c r="M6" s="43">
        <f ca="1">IF(M$9=1,Model_Start_Date,L$7+1)</f>
        <v>45292</v>
      </c>
      <c r="N6" s="43">
        <f ca="1">IF(N$9=1,Model_Start_Date,M$7+1)</f>
        <v>45658</v>
      </c>
    </row>
    <row r="7" spans="1:15" s="42" customFormat="1" outlineLevel="1" x14ac:dyDescent="0.2">
      <c r="C7" s="2" t="s">
        <v>72</v>
      </c>
      <c r="J7" s="43">
        <f ca="1">EOMONTH(J$6,MOD(Periodicity+Reporting_Month_Factor-MONTH(J$6),Periodicity))</f>
        <v>44561</v>
      </c>
      <c r="K7" s="43">
        <f ca="1">EOMONTH(K$6,MOD(Periodicity+Reporting_Month_Factor-MONTH(K$6),Periodicity))</f>
        <v>44926</v>
      </c>
      <c r="L7" s="43">
        <f ca="1">EOMONTH(L$6,MOD(Periodicity+Reporting_Month_Factor-MONTH(L$6),Periodicity))</f>
        <v>45291</v>
      </c>
      <c r="M7" s="43">
        <f ca="1">EOMONTH(M$6,MOD(Periodicity+Reporting_Month_Factor-MONTH(M$6),Periodicity))</f>
        <v>45657</v>
      </c>
      <c r="N7" s="43">
        <f ca="1">EOMONTH(N$6,MOD(Periodicity+Reporting_Month_Factor-MONTH(N$6),Periodicity))</f>
        <v>46022</v>
      </c>
    </row>
    <row r="8" spans="1:15" s="42" customFormat="1" outlineLevel="1" x14ac:dyDescent="0.2">
      <c r="C8" s="2" t="s">
        <v>74</v>
      </c>
      <c r="J8" s="39">
        <f ca="1">J7-J6+1</f>
        <v>365</v>
      </c>
      <c r="K8" s="39">
        <f t="shared" ref="K8:N8" ca="1" si="0">K7-K6+1</f>
        <v>365</v>
      </c>
      <c r="L8" s="39">
        <f t="shared" ca="1" si="0"/>
        <v>365</v>
      </c>
      <c r="M8" s="39">
        <f t="shared" ca="1" si="0"/>
        <v>366</v>
      </c>
      <c r="N8" s="39">
        <f t="shared" ca="1" si="0"/>
        <v>365</v>
      </c>
    </row>
    <row r="9" spans="1:15" s="42" customFormat="1" outlineLevel="1" x14ac:dyDescent="0.2">
      <c r="C9" s="2" t="s">
        <v>73</v>
      </c>
      <c r="I9" s="28"/>
      <c r="J9" s="39">
        <f>N(I$9)+1</f>
        <v>1</v>
      </c>
      <c r="K9" s="39">
        <f t="shared" ref="K9:N9" si="1">N(J$9)+1</f>
        <v>2</v>
      </c>
      <c r="L9" s="39">
        <f t="shared" si="1"/>
        <v>3</v>
      </c>
      <c r="M9" s="39">
        <f t="shared" si="1"/>
        <v>4</v>
      </c>
      <c r="N9" s="39">
        <f t="shared" si="1"/>
        <v>5</v>
      </c>
    </row>
    <row r="10" spans="1:15" s="42" customFormat="1" x14ac:dyDescent="0.2"/>
    <row r="11" spans="1:15" s="42" customFormat="1" ht="16.5" thickBot="1" x14ac:dyDescent="0.3">
      <c r="B11" s="52">
        <f>MAX($B$10:$B10)+1</f>
        <v>1</v>
      </c>
      <c r="C11" s="46" t="s">
        <v>75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42" customFormat="1" ht="12.75" thickTop="1" x14ac:dyDescent="0.2"/>
    <row r="13" spans="1:15" s="42" customFormat="1" ht="16.5" x14ac:dyDescent="0.25">
      <c r="C13" s="4" t="s">
        <v>76</v>
      </c>
    </row>
    <row r="15" spans="1:15" x14ac:dyDescent="0.2">
      <c r="D15" t="s">
        <v>77</v>
      </c>
      <c r="H15" s="61">
        <f ca="1">DATE(YEAR(TODAY())+1,1,1)</f>
        <v>44197</v>
      </c>
    </row>
    <row r="17" spans="4:9" x14ac:dyDescent="0.2">
      <c r="D17" t="s">
        <v>78</v>
      </c>
      <c r="H17" s="53">
        <v>12</v>
      </c>
    </row>
    <row r="19" spans="4:9" x14ac:dyDescent="0.2">
      <c r="D19" t="s">
        <v>79</v>
      </c>
      <c r="H19" s="53">
        <v>12</v>
      </c>
      <c r="I19" s="23" t="str">
        <f ca="1">"e.g. "&amp;TEXT(DATE(YEAR(Model_Start_Date)+IF(Example_Reporting_Month&lt;MONTH(Model_Start_Date),1,0),Example_Reporting_Month+1,1)-1,"dd-Mmm-yy")</f>
        <v>e.g. 31-Dec-21</v>
      </c>
    </row>
    <row r="21" spans="4:9" x14ac:dyDescent="0.2">
      <c r="D21" t="s">
        <v>80</v>
      </c>
      <c r="H21" s="40">
        <f>MOD(Example_Reporting_Month-1,Periodicity)+1</f>
        <v>12</v>
      </c>
    </row>
    <row r="23" spans="4:9" x14ac:dyDescent="0.2">
      <c r="D23" t="s">
        <v>81</v>
      </c>
      <c r="H23" s="62">
        <v>12</v>
      </c>
      <c r="I23" s="90"/>
    </row>
  </sheetData>
  <mergeCells count="2">
    <mergeCell ref="I1:J1"/>
    <mergeCell ref="A3:E3"/>
  </mergeCells>
  <conditionalFormatting sqref="F4">
    <cfRule type="cellIs" dxfId="5" priority="1" operator="notEqual">
      <formula>0</formula>
    </cfRule>
  </conditionalFormatting>
  <dataValidations count="1">
    <dataValidation type="list" allowBlank="1" showInputMessage="1" showErrorMessage="1" sqref="H17" xr:uid="{00000000-0002-0000-0600-000000000000}">
      <formula1>"1,2,3,4,6,12"</formula1>
    </dataValidation>
  </dataValidations>
  <hyperlinks>
    <hyperlink ref="F4" location="Overall_Error_Check" tooltip="Go to Overall Error Check" display="Overall_Error_Check" xr:uid="{00000000-0004-0000-0600-000000000000}"/>
    <hyperlink ref="A3:E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Error Checks</v>
      </c>
      <c r="I1" s="107"/>
      <c r="J1" s="107"/>
    </row>
    <row r="2" spans="1:11" ht="18" x14ac:dyDescent="0.25">
      <c r="A2" s="51" t="str">
        <f ca="1">Model_Name</f>
        <v>Chapter 6.1 - SP Debt Sculpting Example.xlsx</v>
      </c>
    </row>
    <row r="3" spans="1:11" x14ac:dyDescent="0.2">
      <c r="A3" s="107" t="s">
        <v>1</v>
      </c>
      <c r="B3" s="107"/>
      <c r="C3" s="107"/>
      <c r="D3" s="107"/>
      <c r="E3" s="107"/>
    </row>
    <row r="4" spans="1:11" ht="14.25" x14ac:dyDescent="0.2">
      <c r="B4" t="s">
        <v>2</v>
      </c>
      <c r="F4" s="1">
        <f ca="1">Overall_Error_Check</f>
        <v>0</v>
      </c>
    </row>
    <row r="6" spans="1:11" ht="16.5" thickBot="1" x14ac:dyDescent="0.3">
      <c r="B6" s="52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67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68</v>
      </c>
    </row>
    <row r="11" spans="1:11" outlineLevel="1" x14ac:dyDescent="0.2"/>
    <row r="12" spans="1:11" outlineLevel="1" x14ac:dyDescent="0.2">
      <c r="E12" t="s">
        <v>177</v>
      </c>
      <c r="I12" s="101">
        <f ca="1">HL_PLCR_Loan_Repaid_in_Time</f>
        <v>0</v>
      </c>
    </row>
    <row r="13" spans="1:11" outlineLevel="1" x14ac:dyDescent="0.2">
      <c r="E13" s="100" t="s">
        <v>176</v>
      </c>
      <c r="F13" s="100"/>
      <c r="G13" s="100"/>
      <c r="H13" s="100"/>
      <c r="I13" s="101">
        <f ca="1">HL_LLCR_Loan_Repaid_in_Time</f>
        <v>0</v>
      </c>
    </row>
    <row r="14" spans="1:11" outlineLevel="1" x14ac:dyDescent="0.2"/>
    <row r="15" spans="1:11" outlineLevel="1" x14ac:dyDescent="0.2"/>
    <row r="16" spans="1:11" outlineLevel="1" x14ac:dyDescent="0.2"/>
    <row r="17" spans="5:9" ht="15" outlineLevel="1" x14ac:dyDescent="0.25">
      <c r="E17" s="5" t="str">
        <f>C8</f>
        <v>Summary of Errors</v>
      </c>
      <c r="I17" s="1">
        <f ca="1">MIN(1,SUM(I11:I15))</f>
        <v>0</v>
      </c>
    </row>
    <row r="18" spans="5:9" outlineLevel="1" x14ac:dyDescent="0.2"/>
    <row r="19" spans="5:9" outlineLevel="1" x14ac:dyDescent="0.2"/>
  </sheetData>
  <mergeCells count="2">
    <mergeCell ref="I1:J1"/>
    <mergeCell ref="A3:E3"/>
  </mergeCells>
  <conditionalFormatting sqref="I17 F4">
    <cfRule type="cellIs" dxfId="4" priority="3" operator="notEqual">
      <formula>0</formula>
    </cfRule>
  </conditionalFormatting>
  <conditionalFormatting sqref="I12:I13">
    <cfRule type="cellIs" dxfId="3" priority="2" operator="notEqual">
      <formula>0</formula>
    </cfRule>
  </conditionalFormatting>
  <conditionalFormatting sqref="I12:I13">
    <cfRule type="cellIs" dxfId="2" priority="1" operator="notEqual">
      <formula>0</formula>
    </cfRule>
  </conditionalFormatting>
  <hyperlinks>
    <hyperlink ref="F4" location="Overall_Error_Check" tooltip="Go to Overall Error Check" display="Overall_Error_Check" xr:uid="{00000000-0004-0000-0700-000000000000}"/>
    <hyperlink ref="A3:E3" location="HL_Navigator" tooltip="Go to Navigator (Table of Contents)" display="Navigator" xr:uid="{00000000-0004-0000-0700-000001000000}"/>
    <hyperlink ref="A3" location="HL_Navigator" display="Navigator" xr:uid="{00000000-0004-0000-0700-000002000000}"/>
    <hyperlink ref="I12" location="HL_PLCR_Loan_Repaid_in_Time" display="HL_PLCR_Loan_Repaid_in_Time" xr:uid="{00000000-0004-0000-0700-000003000000}"/>
    <hyperlink ref="I13" location="HL_LLCR_Loan_Repaid_in_Time" display="HL_LLCR_Loan_Repaid_in_Time" xr:uid="{00000000-0004-0000-0700-000004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L2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5" width="3.7109375" customWidth="1"/>
    <col min="6" max="6" width="11.140625" customWidth="1"/>
    <col min="7" max="7" width="27" customWidth="1"/>
    <col min="8" max="8" width="21.5703125" customWidth="1"/>
    <col min="9" max="9" width="24.42578125" customWidth="1"/>
    <col min="10" max="10" width="30.28515625" customWidth="1"/>
    <col min="11" max="11" width="26.7109375" style="2" customWidth="1"/>
  </cols>
  <sheetData>
    <row r="1" spans="1:12" s="2" customFormat="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Change Log</v>
      </c>
      <c r="I1" s="107"/>
      <c r="J1" s="107"/>
      <c r="K1" s="49"/>
    </row>
    <row r="2" spans="1:12" s="2" customFormat="1" ht="18" x14ac:dyDescent="0.25">
      <c r="A2" s="51" t="str">
        <f ca="1">Model_Name</f>
        <v>Chapter 6.1 - SP Debt Sculpting Example.xlsx</v>
      </c>
    </row>
    <row r="3" spans="1:12" s="2" customFormat="1" x14ac:dyDescent="0.2">
      <c r="A3" s="107" t="s">
        <v>1</v>
      </c>
      <c r="B3" s="107"/>
      <c r="C3" s="107"/>
      <c r="D3" s="107"/>
      <c r="E3" s="107"/>
    </row>
    <row r="4" spans="1:12" s="2" customFormat="1" ht="14.25" x14ac:dyDescent="0.2">
      <c r="B4" s="2" t="s">
        <v>2</v>
      </c>
      <c r="F4" s="1">
        <f ca="1">Overall_Error_Check</f>
        <v>0</v>
      </c>
    </row>
    <row r="5" spans="1:12" s="2" customFormat="1" x14ac:dyDescent="0.2"/>
    <row r="6" spans="1:12" s="2" customFormat="1" ht="16.5" thickBot="1" x14ac:dyDescent="0.3">
      <c r="B6" s="52">
        <f>MAX($B$5:$B5)+1</f>
        <v>1</v>
      </c>
      <c r="C6" s="3" t="str">
        <f ca="1">A1</f>
        <v>Change Log</v>
      </c>
      <c r="D6" s="3"/>
      <c r="E6" s="3"/>
      <c r="F6" s="3"/>
      <c r="G6" s="3"/>
      <c r="H6" s="3"/>
      <c r="I6" s="3"/>
      <c r="J6" s="3"/>
      <c r="K6" s="3"/>
      <c r="L6" s="3"/>
    </row>
    <row r="7" spans="1:12" s="2" customFormat="1" ht="12.75" outlineLevel="1" thickTop="1" x14ac:dyDescent="0.2"/>
    <row r="8" spans="1:12" s="2" customFormat="1" ht="16.5" outlineLevel="1" x14ac:dyDescent="0.25">
      <c r="C8" s="4" t="s">
        <v>87</v>
      </c>
    </row>
    <row r="10" spans="1:12" x14ac:dyDescent="0.2">
      <c r="F10" s="14" t="s">
        <v>62</v>
      </c>
      <c r="G10" s="14" t="s">
        <v>83</v>
      </c>
      <c r="H10" s="14" t="s">
        <v>84</v>
      </c>
      <c r="I10" s="14" t="s">
        <v>85</v>
      </c>
      <c r="J10" s="14" t="s">
        <v>86</v>
      </c>
      <c r="K10" s="14" t="s">
        <v>88</v>
      </c>
    </row>
    <row r="11" spans="1:12" x14ac:dyDescent="0.2">
      <c r="F11" s="43"/>
      <c r="H11" s="2"/>
      <c r="I11" s="2"/>
      <c r="J11" s="60"/>
    </row>
    <row r="12" spans="1:12" x14ac:dyDescent="0.2">
      <c r="F12" s="43"/>
      <c r="J12" s="60"/>
    </row>
    <row r="13" spans="1:12" x14ac:dyDescent="0.2">
      <c r="F13" s="43"/>
      <c r="J13" s="60"/>
    </row>
    <row r="14" spans="1:12" x14ac:dyDescent="0.2">
      <c r="F14" s="43"/>
    </row>
    <row r="15" spans="1:12" x14ac:dyDescent="0.2">
      <c r="F15" s="43"/>
    </row>
    <row r="16" spans="1:12" x14ac:dyDescent="0.2">
      <c r="F16" s="43"/>
    </row>
    <row r="17" spans="6:6" x14ac:dyDescent="0.2">
      <c r="F17" s="43"/>
    </row>
    <row r="18" spans="6:6" x14ac:dyDescent="0.2">
      <c r="F18" s="43"/>
    </row>
    <row r="19" spans="6:6" x14ac:dyDescent="0.2">
      <c r="F19" s="43"/>
    </row>
    <row r="20" spans="6:6" x14ac:dyDescent="0.2">
      <c r="F20" s="43"/>
    </row>
    <row r="21" spans="6:6" x14ac:dyDescent="0.2">
      <c r="F21" s="43"/>
    </row>
    <row r="22" spans="6:6" x14ac:dyDescent="0.2">
      <c r="F22" s="43"/>
    </row>
  </sheetData>
  <mergeCells count="2">
    <mergeCell ref="I1:J1"/>
    <mergeCell ref="A3:E3"/>
  </mergeCells>
  <conditionalFormatting sqref="F4">
    <cfRule type="cellIs" dxfId="1" priority="1" operator="notEqual">
      <formula>0</formula>
    </cfRule>
  </conditionalFormatting>
  <hyperlinks>
    <hyperlink ref="F4" location="Overall_Error_Check" tooltip="Go to Overall Error Check" display="Overall_Error_Check" xr:uid="{00000000-0004-0000-0800-000000000000}"/>
    <hyperlink ref="A3:E3" location="HL_Navigator" tooltip="Go to Navigator (Table of Contents)" display="Navigator" xr:uid="{00000000-0004-0000-0800-000001000000}"/>
    <hyperlink ref="A3" location="HL_Navigator" display="Navigator" xr:uid="{00000000-0004-0000-0800-000002000000}"/>
  </hyperlink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DBABEAB-EA12-452C-B58B-09EA8778AF2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33</vt:i4>
      </vt:variant>
    </vt:vector>
  </HeadingPairs>
  <TitlesOfParts>
    <vt:vector size="42" baseType="lpstr">
      <vt:lpstr>Cover</vt:lpstr>
      <vt:lpstr>Navigator</vt:lpstr>
      <vt:lpstr>Style Guide</vt:lpstr>
      <vt:lpstr>Model Parameters</vt:lpstr>
      <vt:lpstr>Debt Sculpting Example</vt:lpstr>
      <vt:lpstr>Lookup Data</vt:lpstr>
      <vt:lpstr>Timing</vt:lpstr>
      <vt:lpstr>Error Checks</vt:lpstr>
      <vt:lpstr>Change Log</vt:lpstr>
      <vt:lpstr>Client_Name</vt:lpstr>
      <vt:lpstr>Currency</vt:lpstr>
      <vt:lpstr>Days_in_Year</vt:lpstr>
      <vt:lpstr>Example_Reporting_Month</vt:lpstr>
      <vt:lpstr>Exclude</vt:lpstr>
      <vt:lpstr>HL_1</vt:lpstr>
      <vt:lpstr>HL_3</vt:lpstr>
      <vt:lpstr>HL_4</vt:lpstr>
      <vt:lpstr>HL_5</vt:lpstr>
      <vt:lpstr>HL_6</vt:lpstr>
      <vt:lpstr>HL_7</vt:lpstr>
      <vt:lpstr>HL_8</vt:lpstr>
      <vt:lpstr>HL_9</vt:lpstr>
      <vt:lpstr>HL_LLCR_Loan_Repaid_in_Time</vt:lpstr>
      <vt:lpstr>HL_Model_Parameters</vt:lpstr>
      <vt:lpstr>HL_Navigator</vt:lpstr>
      <vt:lpstr>HL_PLCR_Loan_Repaid_in_Time</vt:lpstr>
      <vt:lpstr>Include</vt:lpstr>
      <vt:lpstr>LU_Include_or_Exclude</vt:lpstr>
      <vt:lpstr>Model_Name</vt:lpstr>
      <vt:lpstr>Model_Start_Date</vt:lpstr>
      <vt:lpstr>Months_in_Half_Yr</vt:lpstr>
      <vt:lpstr>Months_in_Month</vt:lpstr>
      <vt:lpstr>Months_in_Quarter</vt:lpstr>
      <vt:lpstr>Months_in_Year</vt:lpstr>
      <vt:lpstr>Overall_Error_Check</vt:lpstr>
      <vt:lpstr>Periodicity</vt:lpstr>
      <vt:lpstr>Quarters_in_Year</vt:lpstr>
      <vt:lpstr>Reporting_Month_Factor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Tim Heng</cp:lastModifiedBy>
  <dcterms:created xsi:type="dcterms:W3CDTF">2012-10-20T20:39:47Z</dcterms:created>
  <dcterms:modified xsi:type="dcterms:W3CDTF">2020-05-26T16:18:59Z</dcterms:modified>
</cp:coreProperties>
</file>