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inanical Modelling Book\Volume 02\Chapter Inventory\"/>
    </mc:Choice>
  </mc:AlternateContent>
  <xr:revisionPtr revIDLastSave="0" documentId="13_ncr:1_{F664CD72-50D8-40B0-914A-1FA48A054A1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Timing" sheetId="6" r:id="rId5"/>
    <sheet name="Inventory Example" sheetId="10" r:id="rId6"/>
    <sheet name="Error Checks" sheetId="5" r:id="rId7"/>
    <sheet name="Change Log" sheetId="9" r:id="rId8"/>
  </sheets>
  <definedNames>
    <definedName name="Client_Name">'Model Parameters'!$G$12</definedName>
    <definedName name="Days_in_Year">'Model Parameters'!$G$19</definedName>
    <definedName name="Example_Reporting_Month">Timing!$H$19</definedName>
    <definedName name="HL_1">Cover!$A$3</definedName>
    <definedName name="HL_3">'Style Guide'!$A$3</definedName>
    <definedName name="HL_4">'Model Parameters'!$A$3</definedName>
    <definedName name="HL_5" localSheetId="5">'Inventory Example'!$A$3</definedName>
    <definedName name="HL_5">Timing!$A$3</definedName>
    <definedName name="HL_6">'Inventory Example'!$A$3</definedName>
    <definedName name="HL_7">'Error Checks'!$A$3</definedName>
    <definedName name="HL_8">'Change Log'!$A$3</definedName>
    <definedName name="HL_Balance">'Inventory Example'!$I$190</definedName>
    <definedName name="HL_Model_Parameters">'Model Parameters'!$A$5</definedName>
    <definedName name="HL_Navigator">Navigator!$A$1</definedName>
    <definedName name="HL_Purchases">'Inventory Example'!$I$155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6" i="10" l="1"/>
  <c r="E195" i="10"/>
  <c r="H99" i="10"/>
  <c r="H149" i="10"/>
  <c r="H128" i="10"/>
  <c r="H123" i="10"/>
  <c r="H119" i="10"/>
  <c r="H133" i="10"/>
  <c r="E129" i="10"/>
  <c r="E128" i="10"/>
  <c r="J148" i="10"/>
  <c r="E149" i="10"/>
  <c r="E151" i="10"/>
  <c r="E152" i="10"/>
  <c r="E148" i="10"/>
  <c r="E141" i="10"/>
  <c r="E150" i="10" s="1"/>
  <c r="E163" i="10" s="1"/>
  <c r="H113" i="10"/>
  <c r="H111" i="10"/>
  <c r="H110" i="10"/>
  <c r="H109" i="10"/>
  <c r="H108" i="10"/>
  <c r="H81" i="10"/>
  <c r="H80" i="10"/>
  <c r="H51" i="10"/>
  <c r="H48" i="10"/>
  <c r="H49" i="10"/>
  <c r="H47" i="10"/>
  <c r="J139" i="10"/>
  <c r="D137" i="10"/>
  <c r="K113" i="10"/>
  <c r="K119" i="10" s="1"/>
  <c r="L113" i="10"/>
  <c r="L119" i="10" s="1"/>
  <c r="M113" i="10"/>
  <c r="M119" i="10" s="1"/>
  <c r="N113" i="10"/>
  <c r="N119" i="10" s="1"/>
  <c r="J113" i="10"/>
  <c r="J119" i="10" s="1"/>
  <c r="E113" i="10"/>
  <c r="E119" i="10" s="1"/>
  <c r="J110" i="10"/>
  <c r="J118" i="10" s="1"/>
  <c r="K110" i="10"/>
  <c r="K118" i="10" s="1"/>
  <c r="L110" i="10"/>
  <c r="L118" i="10" s="1"/>
  <c r="M110" i="10"/>
  <c r="M118" i="10" s="1"/>
  <c r="N110" i="10"/>
  <c r="N118" i="10" s="1"/>
  <c r="J111" i="10"/>
  <c r="J123" i="10" s="1"/>
  <c r="K111" i="10"/>
  <c r="K123" i="10" s="1"/>
  <c r="L111" i="10"/>
  <c r="L123" i="10" s="1"/>
  <c r="M111" i="10"/>
  <c r="M123" i="10" s="1"/>
  <c r="N111" i="10"/>
  <c r="N123" i="10" s="1"/>
  <c r="E111" i="10"/>
  <c r="E123" i="10" s="1"/>
  <c r="E124" i="10" s="1"/>
  <c r="E110" i="10"/>
  <c r="E118" i="10" s="1"/>
  <c r="J108" i="10"/>
  <c r="J140" i="10" s="1"/>
  <c r="K108" i="10"/>
  <c r="K140" i="10" s="1"/>
  <c r="L108" i="10"/>
  <c r="L140" i="10" s="1"/>
  <c r="M108" i="10"/>
  <c r="M140" i="10" s="1"/>
  <c r="N108" i="10"/>
  <c r="N140" i="10" s="1"/>
  <c r="E108" i="10"/>
  <c r="E101" i="10"/>
  <c r="E177" i="10" s="1"/>
  <c r="J98" i="10"/>
  <c r="K91" i="10"/>
  <c r="L91" i="10"/>
  <c r="M91" i="10"/>
  <c r="N91" i="10"/>
  <c r="J91" i="10"/>
  <c r="E91" i="10"/>
  <c r="K80" i="10"/>
  <c r="K86" i="10" s="1"/>
  <c r="L80" i="10"/>
  <c r="L86" i="10" s="1"/>
  <c r="M80" i="10"/>
  <c r="M86" i="10" s="1"/>
  <c r="N80" i="10"/>
  <c r="N86" i="10" s="1"/>
  <c r="K81" i="10"/>
  <c r="K87" i="10" s="1"/>
  <c r="L81" i="10"/>
  <c r="L87" i="10" s="1"/>
  <c r="M81" i="10"/>
  <c r="M87" i="10" s="1"/>
  <c r="N81" i="10"/>
  <c r="N87" i="10" s="1"/>
  <c r="J81" i="10"/>
  <c r="J87" i="10" s="1"/>
  <c r="J80" i="10"/>
  <c r="J86" i="10" s="1"/>
  <c r="E81" i="10"/>
  <c r="E87" i="10" s="1"/>
  <c r="E80" i="10"/>
  <c r="E86" i="10" s="1"/>
  <c r="E88" i="10" s="1"/>
  <c r="E99" i="10" s="1"/>
  <c r="J68" i="10"/>
  <c r="E71" i="10"/>
  <c r="E173" i="10" s="1"/>
  <c r="K51" i="10"/>
  <c r="K61" i="10" s="1"/>
  <c r="L51" i="10"/>
  <c r="L61" i="10" s="1"/>
  <c r="M51" i="10"/>
  <c r="M61" i="10" s="1"/>
  <c r="N51" i="10"/>
  <c r="N61" i="10" s="1"/>
  <c r="J51" i="10"/>
  <c r="J61" i="10" s="1"/>
  <c r="E51" i="10"/>
  <c r="E61" i="10" s="1"/>
  <c r="E58" i="10"/>
  <c r="E69" i="10" s="1"/>
  <c r="E162" i="10" s="1"/>
  <c r="L49" i="10"/>
  <c r="M49" i="10"/>
  <c r="N49" i="10"/>
  <c r="K49" i="10"/>
  <c r="J48" i="10"/>
  <c r="J47" i="10"/>
  <c r="J57" i="10" s="1"/>
  <c r="K47" i="10"/>
  <c r="K57" i="10" s="1"/>
  <c r="L47" i="10"/>
  <c r="L57" i="10" s="1"/>
  <c r="M47" i="10"/>
  <c r="M57" i="10" s="1"/>
  <c r="N47" i="10"/>
  <c r="N57" i="10" s="1"/>
  <c r="E48" i="10"/>
  <c r="E49" i="10"/>
  <c r="E47" i="10"/>
  <c r="E57" i="10" s="1"/>
  <c r="C41" i="10"/>
  <c r="D23" i="10"/>
  <c r="C7" i="10"/>
  <c r="C8" i="10"/>
  <c r="C9" i="10"/>
  <c r="C6" i="10"/>
  <c r="B11" i="10"/>
  <c r="B19" i="10" s="1"/>
  <c r="A1" i="10"/>
  <c r="J120" i="10" l="1"/>
  <c r="J141" i="10" s="1"/>
  <c r="M120" i="10"/>
  <c r="M141" i="10" s="1"/>
  <c r="J126" i="10"/>
  <c r="L120" i="10"/>
  <c r="E109" i="10"/>
  <c r="E133" i="10"/>
  <c r="J128" i="10"/>
  <c r="E134" i="10"/>
  <c r="M128" i="10"/>
  <c r="J122" i="10"/>
  <c r="J124" i="10" s="1"/>
  <c r="K120" i="10"/>
  <c r="N120" i="10"/>
  <c r="B41" i="10"/>
  <c r="B74" i="10" s="1"/>
  <c r="J88" i="10"/>
  <c r="B6" i="9"/>
  <c r="A1" i="9"/>
  <c r="C6" i="9" s="1"/>
  <c r="J131" i="10" l="1"/>
  <c r="B158" i="10"/>
  <c r="N141" i="10"/>
  <c r="N128" i="10"/>
  <c r="K141" i="10"/>
  <c r="K128" i="10"/>
  <c r="L141" i="10"/>
  <c r="L128" i="10"/>
  <c r="J142" i="10"/>
  <c r="J143" i="10" s="1"/>
  <c r="K139" i="10" s="1"/>
  <c r="K126" i="10" s="1"/>
  <c r="J133" i="10"/>
  <c r="J99" i="10"/>
  <c r="J109" i="10"/>
  <c r="J149" i="10" s="1"/>
  <c r="J127" i="10" s="1"/>
  <c r="J9" i="6"/>
  <c r="H21" i="6"/>
  <c r="I19" i="6"/>
  <c r="J155" i="10" l="1"/>
  <c r="K131" i="10"/>
  <c r="K9" i="6"/>
  <c r="J9" i="10"/>
  <c r="J56" i="10" s="1"/>
  <c r="J58" i="10" s="1"/>
  <c r="J69" i="10" s="1"/>
  <c r="J162" i="10" s="1"/>
  <c r="J129" i="10"/>
  <c r="J150" i="10" s="1"/>
  <c r="J163" i="10" s="1"/>
  <c r="K122" i="10"/>
  <c r="K124" i="10" s="1"/>
  <c r="K88" i="10"/>
  <c r="J6" i="6"/>
  <c r="J164" i="10" l="1"/>
  <c r="L9" i="6"/>
  <c r="K9" i="10"/>
  <c r="K56" i="10" s="1"/>
  <c r="K142" i="10"/>
  <c r="K133" i="10"/>
  <c r="J132" i="10"/>
  <c r="J134" i="10" s="1"/>
  <c r="J151" i="10" s="1"/>
  <c r="K143" i="10"/>
  <c r="L139" i="10" s="1"/>
  <c r="L126" i="10" s="1"/>
  <c r="L131" i="10" s="1"/>
  <c r="K99" i="10"/>
  <c r="K109" i="10"/>
  <c r="K149" i="10" s="1"/>
  <c r="K155" i="10" s="1"/>
  <c r="L88" i="10"/>
  <c r="J7" i="6"/>
  <c r="J7" i="10" s="1"/>
  <c r="J6" i="10"/>
  <c r="K58" i="10" l="1"/>
  <c r="K69" i="10" s="1"/>
  <c r="K162" i="10" s="1"/>
  <c r="M9" i="6"/>
  <c r="L9" i="10"/>
  <c r="L56" i="10" s="1"/>
  <c r="J152" i="10"/>
  <c r="J165" i="10"/>
  <c r="J166" i="10" s="1"/>
  <c r="J183" i="10" s="1"/>
  <c r="L122" i="10"/>
  <c r="L124" i="10" s="1"/>
  <c r="L99" i="10"/>
  <c r="L109" i="10"/>
  <c r="L149" i="10" s="1"/>
  <c r="M88" i="10"/>
  <c r="N88" i="10"/>
  <c r="J5" i="6"/>
  <c r="J5" i="10" s="1"/>
  <c r="K6" i="6"/>
  <c r="L155" i="10" l="1"/>
  <c r="L58" i="10"/>
  <c r="L69" i="10" s="1"/>
  <c r="L162" i="10" s="1"/>
  <c r="M9" i="10"/>
  <c r="M56" i="10" s="1"/>
  <c r="M58" i="10" s="1"/>
  <c r="M69" i="10" s="1"/>
  <c r="M162" i="10" s="1"/>
  <c r="N9" i="6"/>
  <c r="N9" i="10" s="1"/>
  <c r="K148" i="10"/>
  <c r="K127" i="10" s="1"/>
  <c r="K129" i="10" s="1"/>
  <c r="J172" i="10"/>
  <c r="L142" i="10"/>
  <c r="L143" i="10" s="1"/>
  <c r="M139" i="10" s="1"/>
  <c r="M126" i="10" s="1"/>
  <c r="M131" i="10" s="1"/>
  <c r="L133" i="10"/>
  <c r="N99" i="10"/>
  <c r="N109" i="10"/>
  <c r="N149" i="10" s="1"/>
  <c r="M109" i="10"/>
  <c r="M149" i="10" s="1"/>
  <c r="M99" i="10"/>
  <c r="K7" i="6"/>
  <c r="K6" i="10"/>
  <c r="M155" i="10" l="1"/>
  <c r="K150" i="10"/>
  <c r="K163" i="10" s="1"/>
  <c r="K164" i="10" s="1"/>
  <c r="N56" i="10"/>
  <c r="N58" i="10" s="1"/>
  <c r="N69" i="10" s="1"/>
  <c r="N162" i="10" s="1"/>
  <c r="N155" i="10"/>
  <c r="I155" i="10" s="1"/>
  <c r="I12" i="5" s="1"/>
  <c r="K132" i="10"/>
  <c r="K134" i="10" s="1"/>
  <c r="K151" i="10" s="1"/>
  <c r="M122" i="10"/>
  <c r="M124" i="10" s="1"/>
  <c r="K7" i="10"/>
  <c r="K5" i="6"/>
  <c r="K5" i="10" s="1"/>
  <c r="L6" i="6"/>
  <c r="K152" i="10" l="1"/>
  <c r="K165" i="10"/>
  <c r="K166" i="10" s="1"/>
  <c r="K183" i="10" s="1"/>
  <c r="M142" i="10"/>
  <c r="M143" i="10" s="1"/>
  <c r="N139" i="10" s="1"/>
  <c r="N126" i="10" s="1"/>
  <c r="N131" i="10" s="1"/>
  <c r="M133" i="10"/>
  <c r="L7" i="6"/>
  <c r="L6" i="10"/>
  <c r="B11" i="6"/>
  <c r="A1" i="6"/>
  <c r="L148" i="10" l="1"/>
  <c r="L127" i="10" s="1"/>
  <c r="L129" i="10" s="1"/>
  <c r="L150" i="10" s="1"/>
  <c r="L163" i="10" s="1"/>
  <c r="L164" i="10" s="1"/>
  <c r="K172" i="10"/>
  <c r="N122" i="10"/>
  <c r="N124" i="10" s="1"/>
  <c r="L7" i="10"/>
  <c r="M6" i="6"/>
  <c r="L5" i="6"/>
  <c r="L5" i="10" s="1"/>
  <c r="A1" i="5"/>
  <c r="L132" i="10" l="1"/>
  <c r="L134" i="10" s="1"/>
  <c r="L151" i="10" s="1"/>
  <c r="L165" i="10" s="1"/>
  <c r="L166" i="10" s="1"/>
  <c r="L183" i="10" s="1"/>
  <c r="N142" i="10"/>
  <c r="N143" i="10" s="1"/>
  <c r="N133" i="10"/>
  <c r="M7" i="6"/>
  <c r="M6" i="10"/>
  <c r="I37" i="4"/>
  <c r="L152" i="10" l="1"/>
  <c r="M148" i="10" s="1"/>
  <c r="M127" i="10" s="1"/>
  <c r="M129" i="10" s="1"/>
  <c r="M150" i="10" s="1"/>
  <c r="M163" i="10" s="1"/>
  <c r="M164" i="10" s="1"/>
  <c r="M7" i="10"/>
  <c r="M5" i="6"/>
  <c r="M5" i="10" s="1"/>
  <c r="N6" i="6"/>
  <c r="A1" i="2"/>
  <c r="E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10" s="1"/>
  <c r="B6" i="2"/>
  <c r="B15" i="2" s="1"/>
  <c r="L172" i="10" l="1"/>
  <c r="M132" i="10"/>
  <c r="M134" i="10" s="1"/>
  <c r="M151" i="10" s="1"/>
  <c r="M165" i="10" s="1"/>
  <c r="M166" i="10" s="1"/>
  <c r="M183" i="10" s="1"/>
  <c r="N7" i="6"/>
  <c r="N8" i="6" s="1"/>
  <c r="N8" i="10" s="1"/>
  <c r="N6" i="10"/>
  <c r="A2" i="9"/>
  <c r="A2" i="6"/>
  <c r="A2" i="2"/>
  <c r="A2" i="5"/>
  <c r="B56" i="4"/>
  <c r="A2" i="4"/>
  <c r="A2" i="3"/>
  <c r="C6" i="1"/>
  <c r="J8" i="6"/>
  <c r="J8" i="10" s="1"/>
  <c r="K8" i="6"/>
  <c r="K8" i="10" s="1"/>
  <c r="L8" i="6"/>
  <c r="L8" i="10" s="1"/>
  <c r="M8" i="6"/>
  <c r="M8" i="10" s="1"/>
  <c r="M152" i="10" l="1"/>
  <c r="M172" i="10" s="1"/>
  <c r="K62" i="10"/>
  <c r="K63" i="10" s="1"/>
  <c r="K71" i="10" s="1"/>
  <c r="K173" i="10" s="1"/>
  <c r="K92" i="10"/>
  <c r="K93" i="10" s="1"/>
  <c r="K101" i="10" s="1"/>
  <c r="N92" i="10"/>
  <c r="N93" i="10" s="1"/>
  <c r="N101" i="10" s="1"/>
  <c r="N177" i="10" s="1"/>
  <c r="N62" i="10"/>
  <c r="N63" i="10" s="1"/>
  <c r="N71" i="10" s="1"/>
  <c r="N173" i="10" s="1"/>
  <c r="J62" i="10"/>
  <c r="J63" i="10" s="1"/>
  <c r="J71" i="10" s="1"/>
  <c r="J173" i="10" s="1"/>
  <c r="J92" i="10"/>
  <c r="J93" i="10" s="1"/>
  <c r="J101" i="10" s="1"/>
  <c r="J177" i="10" s="1"/>
  <c r="M92" i="10"/>
  <c r="M93" i="10" s="1"/>
  <c r="M101" i="10" s="1"/>
  <c r="M177" i="10" s="1"/>
  <c r="M62" i="10"/>
  <c r="M63" i="10" s="1"/>
  <c r="M71" i="10" s="1"/>
  <c r="M173" i="10" s="1"/>
  <c r="L92" i="10"/>
  <c r="L93" i="10" s="1"/>
  <c r="L101" i="10" s="1"/>
  <c r="L177" i="10" s="1"/>
  <c r="L62" i="10"/>
  <c r="L63" i="10" s="1"/>
  <c r="L71" i="10" s="1"/>
  <c r="L173" i="10" s="1"/>
  <c r="N5" i="6"/>
  <c r="N5" i="10" s="1"/>
  <c r="N7" i="10"/>
  <c r="N148" i="10" l="1"/>
  <c r="N127" i="10" s="1"/>
  <c r="N129" i="10" s="1"/>
  <c r="N150" i="10" s="1"/>
  <c r="N163" i="10" s="1"/>
  <c r="N164" i="10" s="1"/>
  <c r="L98" i="10"/>
  <c r="L100" i="10" s="1"/>
  <c r="L196" i="10" s="1"/>
  <c r="K177" i="10"/>
  <c r="N98" i="10"/>
  <c r="N100" i="10" s="1"/>
  <c r="N196" i="10" s="1"/>
  <c r="J100" i="10"/>
  <c r="J196" i="10" s="1"/>
  <c r="K98" i="10"/>
  <c r="K100" i="10" s="1"/>
  <c r="K196" i="10" s="1"/>
  <c r="M98" i="10"/>
  <c r="M100" i="10" s="1"/>
  <c r="M196" i="10" s="1"/>
  <c r="L68" i="10"/>
  <c r="L70" i="10" s="1"/>
  <c r="L195" i="10" s="1"/>
  <c r="K68" i="10"/>
  <c r="K70" i="10" s="1"/>
  <c r="K195" i="10" s="1"/>
  <c r="J70" i="10"/>
  <c r="J195" i="10" s="1"/>
  <c r="N68" i="10"/>
  <c r="N70" i="10" s="1"/>
  <c r="N195" i="10" s="1"/>
  <c r="M68" i="10"/>
  <c r="M70" i="10" s="1"/>
  <c r="M195" i="10" s="1"/>
  <c r="N132" i="10" l="1"/>
  <c r="N134" i="10" s="1"/>
  <c r="N151" i="10" s="1"/>
  <c r="N165" i="10" s="1"/>
  <c r="N166" i="10" s="1"/>
  <c r="N183" i="10" s="1"/>
  <c r="N197" i="10"/>
  <c r="L197" i="10"/>
  <c r="K197" i="10"/>
  <c r="M197" i="10"/>
  <c r="J197" i="10"/>
  <c r="K171" i="10" l="1"/>
  <c r="K174" i="10" s="1"/>
  <c r="N176" i="10"/>
  <c r="N178" i="10" s="1"/>
  <c r="L171" i="10"/>
  <c r="J176" i="10"/>
  <c r="J178" i="10" s="1"/>
  <c r="L176" i="10"/>
  <c r="L178" i="10" s="1"/>
  <c r="M176" i="10"/>
  <c r="M178" i="10" s="1"/>
  <c r="M171" i="10"/>
  <c r="M174" i="10" s="1"/>
  <c r="N171" i="10"/>
  <c r="J171" i="10"/>
  <c r="J174" i="10" s="1"/>
  <c r="K176" i="10"/>
  <c r="K178" i="10" s="1"/>
  <c r="N152" i="10"/>
  <c r="N172" i="10" s="1"/>
  <c r="L174" i="10"/>
  <c r="M180" i="10" l="1"/>
  <c r="M187" i="10" s="1"/>
  <c r="K180" i="10"/>
  <c r="K187" i="10" s="1"/>
  <c r="L180" i="10"/>
  <c r="L187" i="10" s="1"/>
  <c r="L188" i="10" s="1"/>
  <c r="L189" i="10" s="1"/>
  <c r="N174" i="10"/>
  <c r="N180" i="10" s="1"/>
  <c r="N187" i="10" s="1"/>
  <c r="N188" i="10" s="1"/>
  <c r="N189" i="10" s="1"/>
  <c r="J180" i="10"/>
  <c r="J187" i="10" s="1"/>
  <c r="K188" i="10"/>
  <c r="K189" i="10" s="1"/>
  <c r="M188" i="10"/>
  <c r="M189" i="10" s="1"/>
  <c r="I187" i="10" l="1"/>
  <c r="J188" i="10"/>
  <c r="J189" i="10" s="1"/>
  <c r="I189" i="10" s="1"/>
  <c r="I188" i="10" l="1"/>
  <c r="I190" i="10" s="1"/>
  <c r="I13" i="5" s="1"/>
  <c r="I17" i="5" s="1"/>
  <c r="F4" i="9" l="1"/>
  <c r="F4" i="10"/>
  <c r="G4" i="3"/>
  <c r="F4" i="6"/>
  <c r="I4" i="4"/>
  <c r="I4" i="2"/>
  <c r="F4" i="5"/>
</calcChain>
</file>

<file path=xl/sharedStrings.xml><?xml version="1.0" encoding="utf-8"?>
<sst xmlns="http://schemas.openxmlformats.org/spreadsheetml/2006/main" count="298" uniqueCount="158">
  <si>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</si>
  <si>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</si>
  <si>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</si>
  <si>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</si>
  <si>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</si>
  <si>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</si>
  <si>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</si>
  <si>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</si>
  <si>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</si>
  <si>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</si>
  <si>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</si>
  <si>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</si>
  <si>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</si>
  <si>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</si>
  <si>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</si>
  <si>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</si>
  <si>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</si>
  <si>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</si>
  <si>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</si>
  <si>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</si>
  <si>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</si>
  <si>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</si>
  <si>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</si>
  <si>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</si>
  <si>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</si>
  <si>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</si>
  <si>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</si>
  <si>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</si>
  <si>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</si>
  <si>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</si>
  <si>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</si>
  <si>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</si>
  <si>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</si>
  <si>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</si>
  <si>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</si>
  <si>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</si>
  <si>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</si>
  <si>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</si>
  <si>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</si>
  <si>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</si>
  <si>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</si>
  <si>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</si>
  <si>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</si>
  <si>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</si>
  <si>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</si>
  <si>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</si>
  <si>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</si>
  <si>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</si>
  <si>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</si>
  <si>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</si>
  <si>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</si>
  <si>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</si>
  <si>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</si>
  <si>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</si>
  <si>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</si>
  <si>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</si>
  <si>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</si>
  <si>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</si>
  <si>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</si>
  <si>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</si>
  <si>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</si>
  <si>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</si>
  <si>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</si>
  <si>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</si>
  <si>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</si>
  <si>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</si>
  <si>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</si>
  <si>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</si>
  <si>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</si>
  <si>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</si>
  <si>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</si>
  <si>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</si>
  <si>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</si>
  <si>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</si>
  <si>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</si>
  <si>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</si>
  <si>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</si>
  <si>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</si>
  <si>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</si>
  <si>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</si>
  <si>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</si>
  <si>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</si>
  <si>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Change Log</t>
  </si>
  <si>
    <t xml:space="preserve">Model Version </t>
  </si>
  <si>
    <t>Details of change</t>
  </si>
  <si>
    <t>Worksheet Reference</t>
  </si>
  <si>
    <t>Row, column, cell reference</t>
  </si>
  <si>
    <t>Summary</t>
  </si>
  <si>
    <t>Author</t>
  </si>
  <si>
    <t>SumProduct Training</t>
  </si>
  <si>
    <t>Simple template to illustrate how inventory might work.</t>
  </si>
  <si>
    <t>Please read</t>
  </si>
  <si>
    <t>Revenue</t>
  </si>
  <si>
    <t>Projected Sales</t>
  </si>
  <si>
    <t>#</t>
  </si>
  <si>
    <t>Unit Price</t>
  </si>
  <si>
    <t>Inflation</t>
  </si>
  <si>
    <t>$</t>
  </si>
  <si>
    <t>Index</t>
  </si>
  <si>
    <t>Sales</t>
  </si>
  <si>
    <t>Inventory</t>
  </si>
  <si>
    <t>Purchases</t>
  </si>
  <si>
    <t>kg</t>
  </si>
  <si>
    <t>Price</t>
  </si>
  <si>
    <t>$/kg</t>
  </si>
  <si>
    <t>Wastage</t>
  </si>
  <si>
    <t>%</t>
  </si>
  <si>
    <t>Working Capital Assumptions</t>
  </si>
  <si>
    <t>Days Receivable</t>
  </si>
  <si>
    <t>Days Payable</t>
  </si>
  <si>
    <t># days</t>
  </si>
  <si>
    <t>Amount Used Per Sale</t>
  </si>
  <si>
    <t>Referred Values</t>
  </si>
  <si>
    <t>Calculations</t>
  </si>
  <si>
    <t>Price Per Unit</t>
  </si>
  <si>
    <t>Days in Period</t>
  </si>
  <si>
    <t>Closing Receivables</t>
  </si>
  <si>
    <t>Control Account</t>
  </si>
  <si>
    <t>Opening Receivables</t>
  </si>
  <si>
    <t>Cash Receipts</t>
  </si>
  <si>
    <t>BS</t>
  </si>
  <si>
    <t>IS</t>
  </si>
  <si>
    <t>CFS</t>
  </si>
  <si>
    <t>Opening Payables</t>
  </si>
  <si>
    <t>Cash Payments</t>
  </si>
  <si>
    <t>This example assumes inventory is stored with heteropricing, i.e. inventory prices vary over time.</t>
  </si>
  <si>
    <t>Inventory is valued on an average cost.</t>
  </si>
  <si>
    <t>Inventory at Hand (kg)</t>
  </si>
  <si>
    <t>Opening Inventory</t>
  </si>
  <si>
    <t>COGS</t>
  </si>
  <si>
    <t>Closing Inventory</t>
  </si>
  <si>
    <t>Inventory Balance Pre-Wastage</t>
  </si>
  <si>
    <t>Inventory ($)</t>
  </si>
  <si>
    <t>Inventory Balance Pre-COGS Transfer</t>
  </si>
  <si>
    <t>Excluded</t>
  </si>
  <si>
    <t>Extracts from Financial Statements</t>
  </si>
  <si>
    <t>Income Statement</t>
  </si>
  <si>
    <t>Gross Profit</t>
  </si>
  <si>
    <t>Profit c/f</t>
  </si>
  <si>
    <t>Balance Sheet</t>
  </si>
  <si>
    <t>Cash</t>
  </si>
  <si>
    <t>Cash Flow Statement</t>
  </si>
  <si>
    <t>Cash Movement</t>
  </si>
  <si>
    <t>Current Assets</t>
  </si>
  <si>
    <t>Closing Payables</t>
  </si>
  <si>
    <t>Current Liabilities</t>
  </si>
  <si>
    <t>Net Assets</t>
  </si>
  <si>
    <t>Total Equity</t>
  </si>
  <si>
    <t>Checks</t>
  </si>
  <si>
    <t>Prima Facie Error</t>
  </si>
  <si>
    <t>[1,0]</t>
  </si>
  <si>
    <t>Balance Check</t>
  </si>
  <si>
    <t>Insolvency Check</t>
  </si>
  <si>
    <t>Overall</t>
  </si>
  <si>
    <t>Purchases OK</t>
  </si>
  <si>
    <t>Balance Sheet OK</t>
  </si>
  <si>
    <t>Bank Overdraft</t>
  </si>
  <si>
    <t>Inventory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</si>
</sst>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[$-C09]dd\-mmm\-yy;@"/>
    <numFmt numFmtId="168" formatCode=";;;"/>
    <numFmt numFmtId="169" formatCode="_(#,##0_);[Red]\(#,##0\);_(\-_);"/>
    <numFmt numFmtId="170" formatCode="_(&quot;$&quot;#,##0.0_);\(&quot;$&quot;#,##0.0\);_(&quot;-&quot;_)"/>
    <numFmt numFmtId="171" formatCode="_(#,##0.0_);\(#,##0.0\);_(&quot;-&quot;_)"/>
    <numFmt numFmtId="172" formatCode="&quot;Row &quot;###0"/>
    <numFmt numFmtId="173" formatCode="#,##0."/>
    <numFmt numFmtId="174" formatCode="_(#,##0_);\(#,##0\);_(\-_)"/>
    <numFmt numFmtId="175" formatCode="_(#,##0.00_);\(#,##0.00\);_(\-_._0_0_)"/>
    <numFmt numFmtId="176" formatCode="&quot;$&quot;* _(#,##0.00_);&quot;$&quot;* \(#,##0.00\);&quot;$&quot;* _(\-_._0_0_)"/>
    <numFmt numFmtId="177" formatCode="&quot;$&quot;* _(#,##0_);&quot;$&quot;* \(#,##0\);&quot;$&quot;* _(\-_)"/>
    <numFmt numFmtId="178" formatCode="[$-C09]dd\ mmm\ yy;@"/>
    <numFmt numFmtId="179" formatCode="mmm\ yy"/>
    <numFmt numFmtId="180" formatCode="[$-C09]d\ mmm\ yy;@"/>
  </numFmts>
  <fonts count="36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0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-0.499984740745262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4" fillId="0" borderId="0" applyNumberFormat="0" applyFill="0" applyBorder="0" applyProtection="0"/>
    <xf numFmtId="0" fontId="15" fillId="3" borderId="1" applyNumberForma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25" fillId="0" borderId="3" applyNumberFormat="0" applyAlignment="0">
      <alignment horizontal="center"/>
    </xf>
    <xf numFmtId="0" fontId="24" fillId="4" borderId="7" applyNumberFormat="0" applyAlignment="0">
      <protection locked="0"/>
    </xf>
    <xf numFmtId="0" fontId="3" fillId="0" borderId="0" applyNumberFormat="0" applyFill="0" applyBorder="0"/>
    <xf numFmtId="180" fontId="22" fillId="0" borderId="0" applyFill="0" applyBorder="0" applyProtection="0">
      <alignment horizontal="center"/>
    </xf>
    <xf numFmtId="179" fontId="23" fillId="0" borderId="0" applyFill="0" applyBorder="0" applyProtection="0">
      <alignment horizontal="center"/>
    </xf>
    <xf numFmtId="168" fontId="32" fillId="5" borderId="7" applyAlignment="0"/>
    <xf numFmtId="164" fontId="35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7" fillId="6" borderId="8" applyNumberFormat="0" applyAlignment="0"/>
    <xf numFmtId="41" fontId="1" fillId="0" borderId="9" applyNumberFormat="0" applyFont="0" applyFill="0" applyAlignment="0"/>
    <xf numFmtId="169" fontId="1" fillId="0" borderId="10" applyNumberFormat="0" applyFont="0" applyFill="0" applyAlignment="0" applyProtection="0"/>
    <xf numFmtId="0" fontId="6" fillId="0" borderId="0"/>
    <xf numFmtId="0" fontId="31" fillId="0" borderId="11" applyNumberFormat="0" applyFill="0" applyBorder="0"/>
    <xf numFmtId="169" fontId="1" fillId="0" borderId="0" applyFont="0" applyFill="0" applyBorder="0" applyAlignment="0" applyProtection="0"/>
    <xf numFmtId="0" fontId="25" fillId="7" borderId="2" applyNumberFormat="0" applyAlignment="0" applyProtection="0"/>
    <xf numFmtId="0" fontId="33" fillId="0" borderId="0" applyNumberFormat="0" applyFill="0" applyBorder="0" applyAlignment="0" applyProtection="0"/>
    <xf numFmtId="170" fontId="7" fillId="0" borderId="0" applyFill="0" applyBorder="0">
      <alignment horizontal="right" vertical="center"/>
    </xf>
    <xf numFmtId="171" fontId="7" fillId="0" borderId="0" applyFill="0" applyBorder="0">
      <alignment horizontal="right" vertical="center"/>
    </xf>
    <xf numFmtId="172" fontId="28" fillId="7" borderId="7">
      <alignment horizontal="center"/>
    </xf>
    <xf numFmtId="41" fontId="5" fillId="8" borderId="8" applyFont="0" applyAlignment="0"/>
    <xf numFmtId="0" fontId="12" fillId="11" borderId="0" applyNumberFormat="0">
      <alignment horizontal="center"/>
    </xf>
    <xf numFmtId="0" fontId="29" fillId="0" borderId="0" applyNumberFormat="0" applyFill="0" applyBorder="0" applyProtection="0">
      <alignment horizontal="center"/>
    </xf>
    <xf numFmtId="0" fontId="30" fillId="9" borderId="12" applyNumberFormat="0" applyAlignment="0">
      <protection locked="0"/>
    </xf>
    <xf numFmtId="0" fontId="21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13" applyNumberFormat="0" applyFill="0" applyAlignment="0" applyProtection="0"/>
    <xf numFmtId="0" fontId="18" fillId="0" borderId="14" applyNumberFormat="0" applyFill="0" applyAlignment="0" applyProtection="0"/>
    <xf numFmtId="0" fontId="17" fillId="0" borderId="15" applyNumberFormat="0" applyFill="0" applyAlignment="0" applyProtection="0"/>
    <xf numFmtId="173" fontId="15" fillId="3" borderId="1"/>
  </cellStyleXfs>
  <cellXfs count="105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5" fillId="3" borderId="1" xfId="10"/>
    <xf numFmtId="0" fontId="16" fillId="0" borderId="0" xfId="11" applyBorder="1"/>
    <xf numFmtId="0" fontId="17" fillId="0" borderId="0" xfId="12"/>
    <xf numFmtId="0" fontId="25" fillId="0" borderId="3" xfId="13" applyAlignment="1">
      <alignment horizontal="center"/>
    </xf>
    <xf numFmtId="166" fontId="25" fillId="0" borderId="3" xfId="13" applyNumberFormat="1" applyAlignment="1">
      <alignment horizontal="center"/>
    </xf>
    <xf numFmtId="0" fontId="8" fillId="0" borderId="0" xfId="0" applyFont="1"/>
    <xf numFmtId="0" fontId="9" fillId="0" borderId="0" xfId="12" applyFont="1" applyAlignment="1">
      <alignment horizontal="left" vertical="center"/>
    </xf>
    <xf numFmtId="0" fontId="10" fillId="0" borderId="0" xfId="0" applyFont="1"/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26" fillId="0" borderId="0" xfId="8" applyAlignment="1">
      <alignment horizontal="right"/>
      <protection locked="0"/>
    </xf>
    <xf numFmtId="0" fontId="12" fillId="11" borderId="0" xfId="33">
      <alignment horizontal="center"/>
    </xf>
    <xf numFmtId="0" fontId="0" fillId="0" borderId="0" xfId="0" applyBorder="1"/>
    <xf numFmtId="0" fontId="13" fillId="0" borderId="0" xfId="7" applyBorder="1"/>
    <xf numFmtId="0" fontId="0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9" applyBorder="1"/>
    <xf numFmtId="0" fontId="0" fillId="0" borderId="0" xfId="0" applyBorder="1" applyAlignment="1">
      <alignment horizontal="left"/>
    </xf>
    <xf numFmtId="0" fontId="17" fillId="0" borderId="0" xfId="12" applyBorder="1"/>
    <xf numFmtId="0" fontId="18" fillId="0" borderId="0" xfId="6" applyBorder="1"/>
    <xf numFmtId="0" fontId="31" fillId="0" borderId="0" xfId="25" applyBorder="1"/>
    <xf numFmtId="0" fontId="12" fillId="11" borderId="0" xfId="33" applyBorder="1">
      <alignment horizontal="center"/>
    </xf>
    <xf numFmtId="0" fontId="24" fillId="4" borderId="7" xfId="14">
      <protection locked="0"/>
    </xf>
    <xf numFmtId="0" fontId="11" fillId="0" borderId="0" xfId="0" applyFont="1" applyBorder="1"/>
    <xf numFmtId="0" fontId="25" fillId="0" borderId="3" xfId="13" applyAlignment="1"/>
    <xf numFmtId="168" fontId="32" fillId="5" borderId="7" xfId="18"/>
    <xf numFmtId="164" fontId="35" fillId="2" borderId="2" xfId="19">
      <alignment horizontal="center"/>
      <protection locked="0"/>
    </xf>
    <xf numFmtId="0" fontId="27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5" fillId="7" borderId="2" xfId="27"/>
    <xf numFmtId="0" fontId="33" fillId="0" borderId="0" xfId="28"/>
    <xf numFmtId="172" fontId="28" fillId="7" borderId="7" xfId="31">
      <alignment horizontal="center"/>
    </xf>
    <xf numFmtId="41" fontId="0" fillId="8" borderId="8" xfId="32" applyFont="1"/>
    <xf numFmtId="0" fontId="29" fillId="0" borderId="0" xfId="34">
      <alignment horizontal="center"/>
    </xf>
    <xf numFmtId="0" fontId="30" fillId="9" borderId="12" xfId="35">
      <protection locked="0"/>
    </xf>
    <xf numFmtId="41" fontId="0" fillId="0" borderId="0" xfId="2" applyFont="1"/>
    <xf numFmtId="169" fontId="0" fillId="0" borderId="0" xfId="26" applyFont="1"/>
    <xf numFmtId="9" fontId="0" fillId="0" borderId="0" xfId="5" applyFont="1"/>
    <xf numFmtId="0" fontId="0" fillId="0" borderId="0" xfId="0"/>
    <xf numFmtId="180" fontId="22" fillId="0" borderId="0" xfId="16">
      <alignment horizontal="center"/>
    </xf>
    <xf numFmtId="179" fontId="23" fillId="0" borderId="0" xfId="17">
      <alignment horizontal="center"/>
    </xf>
    <xf numFmtId="0" fontId="3" fillId="0" borderId="0" xfId="15"/>
    <xf numFmtId="164" fontId="15" fillId="3" borderId="1" xfId="10" applyNumberFormat="1" applyProtection="1">
      <protection locked="0"/>
    </xf>
    <xf numFmtId="165" fontId="15" fillId="3" borderId="1" xfId="10" applyNumberFormat="1"/>
    <xf numFmtId="0" fontId="0" fillId="0" borderId="0" xfId="0" applyBorder="1"/>
    <xf numFmtId="0" fontId="26" fillId="0" borderId="0" xfId="8">
      <alignment horizontal="left"/>
      <protection locked="0"/>
    </xf>
    <xf numFmtId="0" fontId="13" fillId="0" borderId="0" xfId="7"/>
    <xf numFmtId="0" fontId="14" fillId="0" borderId="0" xfId="9"/>
    <xf numFmtId="173" fontId="15" fillId="3" borderId="1" xfId="41"/>
    <xf numFmtId="41" fontId="24" fillId="4" borderId="7" xfId="14" applyNumberFormat="1">
      <protection locked="0"/>
    </xf>
    <xf numFmtId="174" fontId="0" fillId="0" borderId="0" xfId="2" applyNumberFormat="1" applyFont="1"/>
    <xf numFmtId="175" fontId="0" fillId="0" borderId="0" xfId="1" applyNumberFormat="1" applyFont="1"/>
    <xf numFmtId="176" fontId="0" fillId="0" borderId="0" xfId="3" applyNumberFormat="1" applyFont="1"/>
    <xf numFmtId="177" fontId="0" fillId="0" borderId="0" xfId="4" applyNumberFormat="1" applyFont="1"/>
    <xf numFmtId="178" fontId="22" fillId="0" borderId="0" xfId="16" applyNumberFormat="1" applyBorder="1">
      <alignment horizontal="center"/>
    </xf>
    <xf numFmtId="179" fontId="23" fillId="0" borderId="0" xfId="17" applyNumberFormat="1" applyBorder="1">
      <alignment horizontal="center"/>
    </xf>
    <xf numFmtId="167" fontId="0" fillId="0" borderId="0" xfId="0" applyNumberFormat="1"/>
    <xf numFmtId="178" fontId="25" fillId="0" borderId="3" xfId="13" applyNumberFormat="1">
      <alignment horizontal="center"/>
    </xf>
    <xf numFmtId="41" fontId="25" fillId="0" borderId="3" xfId="2" applyFont="1" applyBorder="1" applyAlignment="1"/>
    <xf numFmtId="0" fontId="0" fillId="0" borderId="0" xfId="0"/>
    <xf numFmtId="164" fontId="17" fillId="0" borderId="0" xfId="12" applyNumberFormat="1"/>
    <xf numFmtId="0" fontId="29" fillId="0" borderId="0" xfId="34" quotePrefix="1" applyAlignment="1">
      <alignment horizontal="center"/>
    </xf>
    <xf numFmtId="169" fontId="24" fillId="4" borderId="7" xfId="26" applyFont="1" applyFill="1" applyBorder="1" applyProtection="1">
      <protection locked="0"/>
    </xf>
    <xf numFmtId="43" fontId="24" fillId="4" borderId="7" xfId="1" applyFont="1" applyFill="1" applyBorder="1" applyProtection="1">
      <protection locked="0"/>
    </xf>
    <xf numFmtId="9" fontId="24" fillId="4" borderId="7" xfId="14" applyNumberFormat="1">
      <protection locked="0"/>
    </xf>
    <xf numFmtId="0" fontId="23" fillId="0" borderId="0" xfId="0" applyFont="1"/>
    <xf numFmtId="0" fontId="29" fillId="0" borderId="0" xfId="34" applyAlignment="1">
      <alignment horizontal="center"/>
    </xf>
    <xf numFmtId="41" fontId="27" fillId="6" borderId="8" xfId="2" applyFont="1" applyFill="1" applyBorder="1"/>
    <xf numFmtId="43" fontId="27" fillId="6" borderId="8" xfId="21" applyNumberFormat="1"/>
    <xf numFmtId="9" fontId="27" fillId="6" borderId="8" xfId="21" applyNumberFormat="1"/>
    <xf numFmtId="43" fontId="0" fillId="0" borderId="0" xfId="1" applyFont="1"/>
    <xf numFmtId="41" fontId="0" fillId="0" borderId="16" xfId="2" applyFont="1" applyBorder="1"/>
    <xf numFmtId="41" fontId="23" fillId="0" borderId="0" xfId="2" applyFont="1"/>
    <xf numFmtId="43" fontId="0" fillId="0" borderId="0" xfId="0" applyNumberFormat="1"/>
    <xf numFmtId="169" fontId="23" fillId="0" borderId="17" xfId="26" applyFont="1" applyBorder="1"/>
    <xf numFmtId="169" fontId="23" fillId="0" borderId="18" xfId="26" applyFont="1" applyBorder="1"/>
    <xf numFmtId="169" fontId="0" fillId="0" borderId="0" xfId="0" applyNumberFormat="1"/>
    <xf numFmtId="169" fontId="27" fillId="6" borderId="8" xfId="21" applyNumberFormat="1"/>
    <xf numFmtId="41" fontId="23" fillId="0" borderId="9" xfId="22" applyFont="1"/>
    <xf numFmtId="169" fontId="0" fillId="0" borderId="16" xfId="26" applyFont="1" applyBorder="1"/>
    <xf numFmtId="43" fontId="0" fillId="0" borderId="16" xfId="1" applyFont="1" applyBorder="1"/>
    <xf numFmtId="169" fontId="23" fillId="0" borderId="0" xfId="0" applyNumberFormat="1" applyFont="1"/>
    <xf numFmtId="9" fontId="0" fillId="0" borderId="0" xfId="0" applyNumberFormat="1"/>
    <xf numFmtId="169" fontId="23" fillId="0" borderId="9" xfId="22" applyNumberFormat="1" applyFont="1"/>
    <xf numFmtId="0" fontId="31" fillId="0" borderId="0" xfId="25" applyBorder="1" applyAlignment="1">
      <alignment horizontal="right"/>
    </xf>
    <xf numFmtId="0" fontId="34" fillId="0" borderId="0" xfId="0" applyFont="1"/>
    <xf numFmtId="164" fontId="35" fillId="10" borderId="2" xfId="0" applyNumberFormat="1" applyFont="1" applyFill="1" applyBorder="1" applyAlignment="1" applyProtection="1">
      <alignment horizontal="center"/>
      <protection locked="0"/>
    </xf>
    <xf numFmtId="164" fontId="35" fillId="12" borderId="2" xfId="0" applyNumberFormat="1" applyFont="1" applyFill="1" applyBorder="1" applyAlignment="1" applyProtection="1">
      <alignment horizontal="center"/>
      <protection locked="0"/>
    </xf>
    <xf numFmtId="164" fontId="35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26" fillId="0" borderId="0" xfId="8">
      <alignment horizontal="left"/>
      <protection locked="0"/>
    </xf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0" fillId="0" borderId="0" xfId="0"/>
    <xf numFmtId="0" fontId="0" fillId="0" borderId="0" xfId="0" applyBorder="1"/>
    <xf numFmtId="0" fontId="12" fillId="11" borderId="0" xfId="33">
      <alignment horizontal="center"/>
    </xf>
    <xf numFmtId="0" fontId="12" fillId="11" borderId="0" xfId="33" applyBorder="1">
      <alignment horizontal="center"/>
    </xf>
    <xf numFmtId="0" fontId="25" fillId="0" borderId="4" xfId="13" applyBorder="1" applyAlignment="1">
      <alignment horizontal="left"/>
    </xf>
    <xf numFmtId="0" fontId="25" fillId="0" borderId="5" xfId="13" applyBorder="1" applyAlignment="1">
      <alignment horizontal="left"/>
    </xf>
    <xf numFmtId="0" fontId="25" fillId="0" borderId="6" xfId="13" applyBorder="1" applyAlignment="1">
      <alignment horizontal="left"/>
    </xf>
    <xf numFmtId="0" fontId="24" fillId="4" borderId="7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6">
    <dxf>
      <numFmt numFmtId="167" formatCode="[$-C09]dd\-mmm\-yy;@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angeLog" displayName="ChangeLog" ref="F10:K13" totalsRowShown="0" headerRowCellStyle="Table_Heading">
  <autoFilter ref="F10:K13" xr:uid="{00000000-0009-0000-0100-000001000000}"/>
  <tableColumns count="6">
    <tableColumn id="1" xr3:uid="{00000000-0010-0000-0000-000001000000}" name="Date" dataCellStyle="Date"/>
    <tableColumn id="2" xr3:uid="{00000000-0010-0000-0000-000002000000}" name="Model Version "/>
    <tableColumn id="3" xr3:uid="{00000000-0010-0000-0000-000003000000}" name="Details of change"/>
    <tableColumn id="4" xr3:uid="{00000000-0010-0000-0000-000004000000}" name="Worksheet Reference"/>
    <tableColumn id="5" xr3:uid="{00000000-0010-0000-0000-000005000000}" name="Row, column, cell reference" dataDxfId="0"/>
    <tableColumn id="6" xr3:uid="{00000000-0010-0000-0000-000006000000}" name="Auth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94" t="s">
        <v>1</v>
      </c>
    </row>
    <row r="5" spans="1:19" ht="20.25" x14ac:dyDescent="0.3">
      <c r="C5" s="50" t="str">
        <f>Client_Name</f>
        <v>SumProduct Training</v>
      </c>
      <c r="D5" s="8"/>
      <c r="E5" s="8"/>
      <c r="F5" s="8"/>
      <c r="G5" s="8"/>
      <c r="H5" s="8"/>
      <c r="I5" s="8"/>
      <c r="J5" s="8"/>
    </row>
    <row r="6" spans="1:19" ht="18" x14ac:dyDescent="0.25">
      <c r="C6" s="51" t="str">
        <f ca="1">Model_Name</f>
        <v>Chapter 4 - SP Example Generic Inventory Model.xlsx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5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95" t="s">
        <v>90</v>
      </c>
      <c r="D17" s="95"/>
      <c r="E17" s="95"/>
      <c r="F17" s="95"/>
      <c r="G17" s="95"/>
      <c r="H17" s="95"/>
      <c r="I17" s="95"/>
      <c r="J17" s="95"/>
    </row>
    <row r="18" spans="3:10" ht="12.75" x14ac:dyDescent="0.2">
      <c r="C18" s="95"/>
      <c r="D18" s="95"/>
      <c r="E18" s="95"/>
      <c r="F18" s="95"/>
      <c r="G18" s="95"/>
      <c r="H18" s="95"/>
      <c r="I18" s="95"/>
      <c r="J18" s="95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96" t="s">
        <v>22</v>
      </c>
      <c r="H21" s="96"/>
      <c r="I21" s="96"/>
      <c r="J21" s="8"/>
    </row>
    <row r="22" spans="3:10" ht="12.75" x14ac:dyDescent="0.2">
      <c r="C22" s="11" t="s">
        <v>23</v>
      </c>
      <c r="D22" s="10"/>
      <c r="E22" s="8"/>
      <c r="F22" s="8"/>
      <c r="G22" s="96" t="s">
        <v>24</v>
      </c>
      <c r="H22" s="96"/>
      <c r="I22" s="96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5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50" t="s">
        <v>1</v>
      </c>
      <c r="F1" s="13"/>
      <c r="G1" s="13"/>
    </row>
    <row r="2" spans="1:24" ht="18" x14ac:dyDescent="0.25">
      <c r="A2" s="51" t="str">
        <f ca="1">Model_Name</f>
        <v>Chapter 4 - SP Example Generic Inventory Model.xlsx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x14ac:dyDescent="0.2">
      <c r="E4" t="s">
        <v>2</v>
      </c>
      <c r="G4" s="29">
        <f>Overall_Error_Check</f>
        <v>0</v>
      </c>
    </row>
    <row r="7" spans="1:24" ht="16.5" thickBot="1" x14ac:dyDescent="0.3">
      <c r="B7" s="52">
        <v>1</v>
      </c>
      <c r="C7" s="52" t="s">
        <v>25</v>
      </c>
      <c r="D7" s="52"/>
      <c r="E7" s="52"/>
      <c r="F7" s="52"/>
      <c r="G7" s="52"/>
      <c r="H7" s="52"/>
      <c r="I7" s="52"/>
      <c r="J7" s="52"/>
      <c r="K7" s="52"/>
      <c r="L7" s="5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94" t="s">
        <v>26</v>
      </c>
    </row>
    <row r="10" spans="1:24" x14ac:dyDescent="0.2">
      <c r="F10" s="94" t="s">
        <v>27</v>
      </c>
    </row>
    <row r="11" spans="1:24" x14ac:dyDescent="0.2">
      <c r="F11" s="94" t="s">
        <v>0</v>
      </c>
    </row>
    <row r="12" spans="1:24" x14ac:dyDescent="0.2">
      <c r="F12" s="94" t="s">
        <v>70</v>
      </c>
    </row>
    <row r="13" spans="1:24" x14ac:dyDescent="0.2">
      <c r="F13" s="94" t="s">
        <v>157</v>
      </c>
    </row>
    <row r="14" spans="1:24" x14ac:dyDescent="0.2">
      <c r="F14" s="94" t="s">
        <v>66</v>
      </c>
    </row>
    <row r="15" spans="1:24" x14ac:dyDescent="0.2">
      <c r="F15" s="94" t="s">
        <v>82</v>
      </c>
    </row>
  </sheetData>
  <hyperlinks>
    <hyperlink ref="A3:E3" location="HL_Navigator" tooltip="Go to Navigator (Table of Contents)" display="Navigator" xr:uid="{00000000-0004-0000-0100-000000000000}"/>
    <hyperlink ref="F9" location="HL_1" display="Cover" xr:uid="{B75555E0-76C8-41F1-B46A-BC55DFD27D9E}"/>
    <hyperlink ref="F10" location="HL_3" display="Style Guide" xr:uid="{E0F42443-BF61-41DA-B31D-B23F44F11E6F}"/>
    <hyperlink ref="F11" location="HL_4" display="Model Parameters" xr:uid="{D790C5D1-C576-4066-8765-2BF47E14B287}"/>
    <hyperlink ref="F12" location="HL_5" display="Timing" xr:uid="{E89350C2-0CED-4B61-A94B-B7217B0DECD6}"/>
    <hyperlink ref="F13" location="HL_6" display="Inventory Example" xr:uid="{8CFC4740-3C63-4D26-A7F0-38ECB1A92208}"/>
    <hyperlink ref="F14" location="HL_7" display="Error Checks" xr:uid="{A6DF3B75-A6BC-4F2D-B10B-ACB7A7B3FD98}"/>
    <hyperlink ref="F15" location="HL_8" display="Change Log" xr:uid="{E88C01A3-D230-40A8-898D-5D4DB66C06D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51" t="str">
        <f ca="1">Model_Name</f>
        <v>Chapter 4 - SP Example Generic Inventory Model.xlsx</v>
      </c>
    </row>
    <row r="3" spans="1:13" x14ac:dyDescent="0.2">
      <c r="A3" s="96" t="s">
        <v>1</v>
      </c>
      <c r="B3" s="96"/>
      <c r="C3" s="96"/>
      <c r="D3" s="96"/>
      <c r="E3" s="96"/>
    </row>
    <row r="4" spans="1:13" ht="14.25" x14ac:dyDescent="0.2">
      <c r="E4" t="s">
        <v>2</v>
      </c>
      <c r="I4" s="1">
        <f>Overall_Error_Check</f>
        <v>0</v>
      </c>
    </row>
    <row r="6" spans="1:13" ht="16.5" thickBot="1" x14ac:dyDescent="0.3">
      <c r="B6" s="52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99" t="s">
        <v>29</v>
      </c>
      <c r="D8" s="99"/>
      <c r="E8" s="99"/>
      <c r="F8" s="99"/>
      <c r="G8" s="99"/>
      <c r="H8" s="14"/>
      <c r="I8" s="14" t="s">
        <v>30</v>
      </c>
      <c r="J8" s="14"/>
      <c r="K8" s="14" t="s">
        <v>31</v>
      </c>
    </row>
    <row r="9" spans="1:13" outlineLevel="1" x14ac:dyDescent="0.2">
      <c r="C9" s="98"/>
      <c r="D9" s="98"/>
      <c r="E9" s="98"/>
      <c r="F9" s="98"/>
      <c r="G9" s="98"/>
      <c r="H9" s="48"/>
      <c r="I9" s="48"/>
      <c r="J9" s="17"/>
      <c r="K9" s="20"/>
    </row>
    <row r="10" spans="1:13" ht="20.25" outlineLevel="1" x14ac:dyDescent="0.3">
      <c r="C10" s="98" t="s">
        <v>32</v>
      </c>
      <c r="D10" s="98"/>
      <c r="E10" s="98"/>
      <c r="F10" s="98"/>
      <c r="G10" s="98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98" t="s">
        <v>5</v>
      </c>
      <c r="D11" s="98"/>
      <c r="E11" s="98"/>
      <c r="F11" s="98"/>
      <c r="G11" s="98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98"/>
      <c r="D12" s="98"/>
      <c r="E12" s="98"/>
      <c r="F12" s="98"/>
      <c r="G12" s="98"/>
      <c r="H12" s="15"/>
      <c r="I12" s="15"/>
      <c r="J12" s="17"/>
      <c r="K12" s="20"/>
    </row>
    <row r="13" spans="1:13" ht="16.5" outlineLevel="1" thickBot="1" x14ac:dyDescent="0.3">
      <c r="C13" s="98" t="s">
        <v>33</v>
      </c>
      <c r="D13" s="98"/>
      <c r="E13" s="98"/>
      <c r="F13" s="98"/>
      <c r="G13" s="98"/>
      <c r="H13" s="15"/>
      <c r="I13" s="47" t="str">
        <f>C13</f>
        <v>Header 1</v>
      </c>
      <c r="J13" s="17"/>
      <c r="K13" s="18" t="s">
        <v>33</v>
      </c>
    </row>
    <row r="14" spans="1:13" ht="17.25" outlineLevel="1" thickTop="1" x14ac:dyDescent="0.25">
      <c r="C14" s="98" t="s">
        <v>34</v>
      </c>
      <c r="D14" s="98"/>
      <c r="E14" s="98"/>
      <c r="F14" s="98"/>
      <c r="G14" s="98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98" t="s">
        <v>35</v>
      </c>
      <c r="D15" s="98"/>
      <c r="E15" s="98"/>
      <c r="F15" s="98"/>
      <c r="G15" s="98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98" t="s">
        <v>36</v>
      </c>
      <c r="D16" s="98"/>
      <c r="E16" s="98"/>
      <c r="F16" s="98"/>
      <c r="G16" s="98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98"/>
      <c r="D17" s="98"/>
      <c r="E17" s="98"/>
      <c r="F17" s="98"/>
      <c r="G17" s="98"/>
      <c r="H17" s="15"/>
      <c r="I17" s="15"/>
      <c r="J17" s="17"/>
      <c r="K17" s="20"/>
    </row>
    <row r="18" spans="2:14" ht="15" outlineLevel="1" x14ac:dyDescent="0.25">
      <c r="C18" s="98" t="s">
        <v>37</v>
      </c>
      <c r="D18" s="98"/>
      <c r="E18" s="98"/>
      <c r="F18" s="98"/>
      <c r="G18" s="98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98"/>
      <c r="D19" s="98"/>
      <c r="E19" s="98"/>
      <c r="F19" s="98"/>
      <c r="G19" s="98"/>
      <c r="H19" s="15"/>
      <c r="I19" s="15"/>
      <c r="J19" s="17"/>
      <c r="K19" s="20"/>
      <c r="N19" s="23"/>
    </row>
    <row r="20" spans="2:14" ht="15" outlineLevel="1" x14ac:dyDescent="0.25">
      <c r="C20" s="98" t="s">
        <v>38</v>
      </c>
      <c r="D20" s="98"/>
      <c r="E20" s="98"/>
      <c r="F20" s="98"/>
      <c r="G20" s="98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52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100" t="s">
        <v>29</v>
      </c>
      <c r="D25" s="100"/>
      <c r="E25" s="100"/>
      <c r="F25" s="100"/>
      <c r="G25" s="100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98"/>
      <c r="D26" s="98"/>
      <c r="E26" s="98"/>
      <c r="F26" s="98"/>
      <c r="G26" s="98"/>
      <c r="H26" s="48"/>
      <c r="I26" s="48"/>
      <c r="J26" s="17"/>
      <c r="K26" s="18"/>
    </row>
    <row r="27" spans="2:14" ht="15" outlineLevel="1" x14ac:dyDescent="0.25">
      <c r="C27" s="98" t="s">
        <v>40</v>
      </c>
      <c r="D27" s="98"/>
      <c r="E27" s="98"/>
      <c r="F27" s="98"/>
      <c r="G27" s="98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98"/>
      <c r="D28" s="98"/>
      <c r="E28" s="98"/>
      <c r="F28" s="98"/>
      <c r="G28" s="98"/>
      <c r="H28" s="15"/>
      <c r="I28" s="15"/>
      <c r="J28" s="15"/>
      <c r="K28" s="26"/>
    </row>
    <row r="29" spans="2:14" ht="15" outlineLevel="1" x14ac:dyDescent="0.25">
      <c r="C29" s="98" t="s">
        <v>41</v>
      </c>
      <c r="D29" s="98"/>
      <c r="E29" s="98"/>
      <c r="F29" s="98"/>
      <c r="G29" s="98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98"/>
      <c r="D30" s="98"/>
      <c r="E30" s="98"/>
      <c r="F30" s="98"/>
      <c r="G30" s="98"/>
      <c r="H30" s="15"/>
      <c r="I30" s="15"/>
      <c r="J30" s="15"/>
      <c r="K30" s="26"/>
    </row>
    <row r="31" spans="2:14" ht="15" outlineLevel="1" x14ac:dyDescent="0.25">
      <c r="C31" s="97" t="s">
        <v>42</v>
      </c>
      <c r="D31" s="97"/>
      <c r="E31" s="97"/>
      <c r="F31" s="97"/>
      <c r="G31" s="97"/>
      <c r="I31" s="28"/>
      <c r="K31" s="26" t="str">
        <f>C31</f>
        <v>Empty</v>
      </c>
    </row>
    <row r="32" spans="2:14" ht="15" outlineLevel="1" x14ac:dyDescent="0.25">
      <c r="C32" s="97"/>
      <c r="D32" s="97"/>
      <c r="E32" s="97"/>
      <c r="F32" s="97"/>
      <c r="G32" s="97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97" t="s">
        <v>44</v>
      </c>
      <c r="D35" s="97"/>
      <c r="E35" s="97"/>
      <c r="F35" s="97"/>
      <c r="G35" s="97"/>
      <c r="I35" s="12" t="s">
        <v>44</v>
      </c>
      <c r="K35" s="26" t="str">
        <f>C35</f>
        <v>Hyperlink</v>
      </c>
    </row>
    <row r="36" spans="3:11" ht="15" outlineLevel="1" x14ac:dyDescent="0.25">
      <c r="C36" s="97"/>
      <c r="D36" s="97"/>
      <c r="E36" s="97"/>
      <c r="F36" s="97"/>
      <c r="G36" s="97"/>
      <c r="K36" s="26"/>
    </row>
    <row r="37" spans="3:11" ht="15" outlineLevel="1" x14ac:dyDescent="0.25">
      <c r="C37" s="97" t="s">
        <v>45</v>
      </c>
      <c r="D37" s="97"/>
      <c r="E37" s="97"/>
      <c r="F37" s="97"/>
      <c r="G37" s="97"/>
      <c r="I37" s="30" t="str">
        <f>'Error Checks'!E12</f>
        <v>Purchases OK</v>
      </c>
      <c r="K37" s="26" t="str">
        <f>C37</f>
        <v>Internal Reference</v>
      </c>
    </row>
    <row r="38" spans="3:11" ht="15" outlineLevel="1" x14ac:dyDescent="0.25">
      <c r="C38" s="97"/>
      <c r="D38" s="97"/>
      <c r="E38" s="97"/>
      <c r="F38" s="97"/>
      <c r="G38" s="97"/>
      <c r="K38" s="26"/>
    </row>
    <row r="39" spans="3:11" ht="15" outlineLevel="1" x14ac:dyDescent="0.25">
      <c r="C39" s="97" t="s">
        <v>46</v>
      </c>
      <c r="D39" s="97"/>
      <c r="E39" s="97"/>
      <c r="F39" s="97"/>
      <c r="G39" s="97"/>
      <c r="I39" s="31">
        <v>77</v>
      </c>
      <c r="K39" s="26" t="s">
        <v>47</v>
      </c>
    </row>
    <row r="40" spans="3:11" ht="15" outlineLevel="1" x14ac:dyDescent="0.25">
      <c r="C40" s="97"/>
      <c r="D40" s="97"/>
      <c r="E40" s="97"/>
      <c r="F40" s="97"/>
      <c r="G40" s="97"/>
      <c r="K40" s="26"/>
    </row>
    <row r="41" spans="3:11" ht="15" outlineLevel="1" x14ac:dyDescent="0.25">
      <c r="C41" s="97" t="s">
        <v>48</v>
      </c>
      <c r="D41" s="97"/>
      <c r="E41" s="97"/>
      <c r="F41" s="97"/>
      <c r="G41" s="97"/>
      <c r="I41" s="32">
        <f>I39</f>
        <v>77</v>
      </c>
      <c r="K41" s="26" t="str">
        <f>C41</f>
        <v>Line Total</v>
      </c>
    </row>
    <row r="42" spans="3:11" ht="15" outlineLevel="1" x14ac:dyDescent="0.25">
      <c r="C42" s="97"/>
      <c r="D42" s="97"/>
      <c r="E42" s="97"/>
      <c r="F42" s="97"/>
      <c r="G42" s="97"/>
      <c r="K42" s="26"/>
    </row>
    <row r="43" spans="3:11" ht="15" outlineLevel="1" x14ac:dyDescent="0.25">
      <c r="C43" s="97" t="s">
        <v>49</v>
      </c>
      <c r="D43" s="97"/>
      <c r="E43" s="97"/>
      <c r="F43" s="97"/>
      <c r="G43" s="97"/>
      <c r="I43" s="33">
        <v>365</v>
      </c>
      <c r="K43" s="26" t="str">
        <f>C43</f>
        <v>Parameter</v>
      </c>
    </row>
    <row r="44" spans="3:11" ht="15" outlineLevel="1" x14ac:dyDescent="0.25">
      <c r="C44" s="97"/>
      <c r="D44" s="97"/>
      <c r="E44" s="97"/>
      <c r="F44" s="97"/>
      <c r="G44" s="97"/>
      <c r="K44" s="26"/>
    </row>
    <row r="45" spans="3:11" ht="15" outlineLevel="1" x14ac:dyDescent="0.25">
      <c r="C45" s="97" t="s">
        <v>50</v>
      </c>
      <c r="D45" s="97"/>
      <c r="E45" s="97"/>
      <c r="F45" s="97"/>
      <c r="G45" s="97"/>
      <c r="I45" s="34" t="s">
        <v>51</v>
      </c>
      <c r="K45" s="26" t="str">
        <f>C45</f>
        <v>Range Name Description</v>
      </c>
    </row>
    <row r="46" spans="3:11" ht="15" outlineLevel="1" x14ac:dyDescent="0.25">
      <c r="C46" s="97"/>
      <c r="D46" s="97"/>
      <c r="E46" s="97"/>
      <c r="F46" s="97"/>
      <c r="G46" s="97"/>
      <c r="K46" s="26"/>
    </row>
    <row r="47" spans="3:11" ht="15" outlineLevel="1" x14ac:dyDescent="0.25">
      <c r="C47" s="97" t="s">
        <v>52</v>
      </c>
      <c r="D47" s="97"/>
      <c r="E47" s="97"/>
      <c r="F47" s="97"/>
      <c r="G47" s="97"/>
      <c r="I47" s="35">
        <f>ROW(C47)</f>
        <v>47</v>
      </c>
      <c r="K47" s="26" t="s">
        <v>53</v>
      </c>
    </row>
    <row r="48" spans="3:11" ht="15" outlineLevel="1" x14ac:dyDescent="0.25">
      <c r="C48" s="97"/>
      <c r="D48" s="97"/>
      <c r="E48" s="97"/>
      <c r="F48" s="97"/>
      <c r="G48" s="97"/>
      <c r="K48" s="26"/>
    </row>
    <row r="49" spans="2:13" ht="15" outlineLevel="1" x14ac:dyDescent="0.25">
      <c r="C49" s="97" t="s">
        <v>54</v>
      </c>
      <c r="D49" s="97"/>
      <c r="E49" s="97"/>
      <c r="F49" s="97"/>
      <c r="G49" s="97"/>
      <c r="I49" s="36">
        <f>I41</f>
        <v>77</v>
      </c>
      <c r="K49" s="26" t="str">
        <f>C49</f>
        <v>Row Summary</v>
      </c>
    </row>
    <row r="50" spans="2:13" ht="15" outlineLevel="1" x14ac:dyDescent="0.25">
      <c r="C50" s="97"/>
      <c r="D50" s="97"/>
      <c r="E50" s="97"/>
      <c r="F50" s="97"/>
      <c r="G50" s="97"/>
      <c r="K50" s="26"/>
    </row>
    <row r="51" spans="2:13" ht="15" outlineLevel="1" x14ac:dyDescent="0.25">
      <c r="C51" s="97" t="s">
        <v>55</v>
      </c>
      <c r="D51" s="97"/>
      <c r="E51" s="97"/>
      <c r="F51" s="97"/>
      <c r="G51" s="97"/>
      <c r="I51" s="37" t="s">
        <v>69</v>
      </c>
      <c r="K51" s="26" t="str">
        <f>C51</f>
        <v>Units</v>
      </c>
    </row>
    <row r="52" spans="2:13" ht="15" outlineLevel="1" x14ac:dyDescent="0.25">
      <c r="C52" s="97"/>
      <c r="D52" s="97"/>
      <c r="E52" s="97"/>
      <c r="F52" s="97"/>
      <c r="G52" s="97"/>
      <c r="K52" s="26"/>
    </row>
    <row r="53" spans="2:13" ht="15" outlineLevel="1" x14ac:dyDescent="0.25">
      <c r="C53" s="97" t="s">
        <v>56</v>
      </c>
      <c r="D53" s="97"/>
      <c r="E53" s="97"/>
      <c r="F53" s="97"/>
      <c r="G53" s="97"/>
      <c r="I53" s="38"/>
      <c r="K53" s="26" t="str">
        <f>C53</f>
        <v>WIP</v>
      </c>
    </row>
    <row r="54" spans="2:13" ht="15" outlineLevel="1" x14ac:dyDescent="0.25">
      <c r="C54" s="97"/>
      <c r="D54" s="97"/>
      <c r="E54" s="97"/>
      <c r="F54" s="97"/>
      <c r="G54" s="97"/>
      <c r="K54" s="26"/>
    </row>
    <row r="55" spans="2:13" outlineLevel="1" x14ac:dyDescent="0.2">
      <c r="C55" s="97"/>
      <c r="D55" s="97"/>
      <c r="E55" s="97"/>
      <c r="F55" s="97"/>
      <c r="G55" s="97"/>
    </row>
    <row r="56" spans="2:13" ht="16.5" thickBot="1" x14ac:dyDescent="0.3">
      <c r="B56" s="52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99" t="s">
        <v>29</v>
      </c>
      <c r="D58" s="99"/>
      <c r="E58" s="99"/>
      <c r="F58" s="99"/>
      <c r="G58" s="99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97" t="s">
        <v>58</v>
      </c>
      <c r="D60" s="97"/>
      <c r="E60" s="97"/>
      <c r="F60" s="97"/>
      <c r="G60" s="97"/>
      <c r="I60" s="55">
        <v>123456.789</v>
      </c>
      <c r="K60" s="26" t="str">
        <f t="shared" ref="K60:K66" si="0">C60</f>
        <v>Comma</v>
      </c>
    </row>
    <row r="61" spans="2:13" ht="15" outlineLevel="1" x14ac:dyDescent="0.25">
      <c r="C61" s="97"/>
      <c r="D61" s="97"/>
      <c r="E61" s="97"/>
      <c r="F61" s="97"/>
      <c r="G61" s="97"/>
      <c r="K61" s="26"/>
    </row>
    <row r="62" spans="2:13" ht="15" outlineLevel="1" x14ac:dyDescent="0.25">
      <c r="C62" s="97" t="s">
        <v>59</v>
      </c>
      <c r="D62" s="97"/>
      <c r="E62" s="97"/>
      <c r="F62" s="97"/>
      <c r="G62" s="97"/>
      <c r="I62" s="54">
        <v>-123456.789</v>
      </c>
      <c r="K62" s="26" t="str">
        <f t="shared" si="0"/>
        <v>Comma [0]</v>
      </c>
    </row>
    <row r="63" spans="2:13" ht="15" outlineLevel="1" x14ac:dyDescent="0.25">
      <c r="C63" s="97"/>
      <c r="D63" s="97"/>
      <c r="E63" s="97"/>
      <c r="F63" s="97"/>
      <c r="G63" s="97"/>
      <c r="K63" s="26"/>
    </row>
    <row r="64" spans="2:13" ht="15" outlineLevel="1" x14ac:dyDescent="0.25">
      <c r="C64" s="97" t="s">
        <v>60</v>
      </c>
      <c r="D64" s="97"/>
      <c r="E64" s="97"/>
      <c r="F64" s="97"/>
      <c r="G64" s="97"/>
      <c r="I64" s="56">
        <v>123456.789</v>
      </c>
      <c r="K64" s="26" t="str">
        <f t="shared" si="0"/>
        <v>Currency</v>
      </c>
    </row>
    <row r="65" spans="3:11" ht="15" outlineLevel="1" x14ac:dyDescent="0.25">
      <c r="C65" s="97"/>
      <c r="D65" s="97"/>
      <c r="E65" s="97"/>
      <c r="F65" s="97"/>
      <c r="G65" s="97"/>
      <c r="K65" s="26"/>
    </row>
    <row r="66" spans="3:11" ht="15" outlineLevel="1" x14ac:dyDescent="0.25">
      <c r="C66" s="97" t="s">
        <v>61</v>
      </c>
      <c r="D66" s="97"/>
      <c r="E66" s="97"/>
      <c r="F66" s="97"/>
      <c r="G66" s="97"/>
      <c r="I66" s="57">
        <v>123456.789</v>
      </c>
      <c r="K66" s="26" t="str">
        <f t="shared" si="0"/>
        <v>Currency [0]</v>
      </c>
    </row>
    <row r="67" spans="3:11" ht="15" outlineLevel="1" x14ac:dyDescent="0.25">
      <c r="C67" s="97"/>
      <c r="D67" s="97"/>
      <c r="E67" s="97"/>
      <c r="F67" s="97"/>
      <c r="G67" s="97"/>
      <c r="K67" s="26"/>
    </row>
    <row r="68" spans="3:11" ht="15" outlineLevel="1" x14ac:dyDescent="0.25">
      <c r="C68" s="98" t="s">
        <v>62</v>
      </c>
      <c r="D68" s="98"/>
      <c r="E68" s="98"/>
      <c r="F68" s="98"/>
      <c r="G68" s="98"/>
      <c r="H68" s="15"/>
      <c r="I68" s="58">
        <f ca="1">TODAY()</f>
        <v>43977</v>
      </c>
      <c r="J68" s="15"/>
      <c r="K68" s="26" t="str">
        <f>C68</f>
        <v>Date</v>
      </c>
    </row>
    <row r="69" spans="3:11" ht="15" outlineLevel="1" x14ac:dyDescent="0.25">
      <c r="C69" s="98"/>
      <c r="D69" s="98"/>
      <c r="E69" s="98"/>
      <c r="F69" s="98"/>
      <c r="G69" s="98"/>
      <c r="H69" s="15"/>
      <c r="I69" s="15"/>
      <c r="J69" s="15"/>
      <c r="K69" s="26"/>
    </row>
    <row r="70" spans="3:11" ht="15" outlineLevel="1" x14ac:dyDescent="0.25">
      <c r="C70" s="98" t="s">
        <v>63</v>
      </c>
      <c r="D70" s="98"/>
      <c r="E70" s="98"/>
      <c r="F70" s="98"/>
      <c r="G70" s="98"/>
      <c r="H70" s="15"/>
      <c r="I70" s="59">
        <f ca="1">TODAY()</f>
        <v>43977</v>
      </c>
      <c r="J70" s="15"/>
      <c r="K70" s="26" t="str">
        <f>C70</f>
        <v>Date Heading</v>
      </c>
    </row>
    <row r="71" spans="3:11" ht="15" outlineLevel="1" x14ac:dyDescent="0.25">
      <c r="C71" s="97"/>
      <c r="D71" s="97"/>
      <c r="E71" s="97"/>
      <c r="F71" s="97"/>
      <c r="G71" s="97"/>
      <c r="K71" s="26"/>
    </row>
    <row r="72" spans="3:11" ht="15" outlineLevel="1" x14ac:dyDescent="0.25">
      <c r="C72" s="97" t="s">
        <v>64</v>
      </c>
      <c r="D72" s="97"/>
      <c r="E72" s="97"/>
      <c r="F72" s="97"/>
      <c r="G72" s="97"/>
      <c r="I72" s="40">
        <v>-123456.789</v>
      </c>
      <c r="K72" s="26" t="str">
        <f>C72</f>
        <v>Numbers 0</v>
      </c>
    </row>
    <row r="73" spans="3:11" ht="15" outlineLevel="1" x14ac:dyDescent="0.25">
      <c r="C73" s="97"/>
      <c r="D73" s="97"/>
      <c r="E73" s="97"/>
      <c r="F73" s="97"/>
      <c r="G73" s="97"/>
      <c r="K73" s="26"/>
    </row>
    <row r="74" spans="3:11" ht="15" outlineLevel="1" x14ac:dyDescent="0.25">
      <c r="C74" s="97" t="s">
        <v>65</v>
      </c>
      <c r="D74" s="97"/>
      <c r="E74" s="97"/>
      <c r="F74" s="97"/>
      <c r="G74" s="97"/>
      <c r="I74" s="41">
        <v>0.5</v>
      </c>
      <c r="K74" s="26" t="str">
        <f>C74</f>
        <v>Percent</v>
      </c>
    </row>
    <row r="75" spans="3:11" outlineLevel="1" x14ac:dyDescent="0.2">
      <c r="C75" s="97"/>
      <c r="D75" s="97"/>
      <c r="E75" s="97"/>
      <c r="F75" s="97"/>
      <c r="G75" s="97"/>
    </row>
    <row r="76" spans="3:11" outlineLevel="1" x14ac:dyDescent="0.2">
      <c r="C76" s="97"/>
      <c r="D76" s="97"/>
      <c r="E76" s="97"/>
      <c r="F76" s="97"/>
      <c r="G76" s="97"/>
    </row>
    <row r="77" spans="3:11" x14ac:dyDescent="0.2">
      <c r="C77" s="97"/>
      <c r="D77" s="97"/>
      <c r="E77" s="97"/>
      <c r="F77" s="97"/>
      <c r="G77" s="97"/>
    </row>
    <row r="78" spans="3:11" x14ac:dyDescent="0.2">
      <c r="C78" s="97"/>
      <c r="D78" s="97"/>
      <c r="E78" s="97"/>
      <c r="F78" s="97"/>
      <c r="G78" s="97"/>
    </row>
    <row r="79" spans="3:11" x14ac:dyDescent="0.2">
      <c r="C79" s="97"/>
      <c r="D79" s="97"/>
      <c r="E79" s="97"/>
      <c r="F79" s="97"/>
      <c r="G79" s="97"/>
    </row>
    <row r="80" spans="3:11" x14ac:dyDescent="0.2">
      <c r="C80" s="97"/>
      <c r="D80" s="97"/>
      <c r="E80" s="97"/>
      <c r="F80" s="97"/>
      <c r="G80" s="97"/>
    </row>
    <row r="81" spans="3:7" x14ac:dyDescent="0.2">
      <c r="C81" s="97"/>
      <c r="D81" s="97"/>
      <c r="E81" s="97"/>
      <c r="F81" s="97"/>
      <c r="G81" s="97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12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Model Parameters</v>
      </c>
      <c r="J1" s="96"/>
      <c r="K1" s="96"/>
    </row>
    <row r="2" spans="1:18" ht="18" x14ac:dyDescent="0.25">
      <c r="A2" s="51" t="str">
        <f ca="1">Model_Name</f>
        <v>Chapter 4 - SP Example Generic Inventory Model.xlsx</v>
      </c>
    </row>
    <row r="3" spans="1:18" x14ac:dyDescent="0.2">
      <c r="A3" s="96" t="s">
        <v>1</v>
      </c>
      <c r="B3" s="96"/>
      <c r="C3" s="96"/>
      <c r="D3" s="96"/>
      <c r="E3" s="96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52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101" t="str">
        <f ca="1">IF(ISERROR(OR(FIND("[",CELL("filename",A1)),FIND("]",CELL("filename",A1)))),"",MID(CELL("filename",A1),FIND("[",CELL("filename",A1))+1,FIND("]",CELL("filename",A1))-FIND("[",CELL("filename",A1))-1))</f>
        <v>Chapter 4 - SP Example Generic Inventory Model.xlsx</v>
      </c>
      <c r="H11" s="102"/>
      <c r="I11" s="102"/>
      <c r="J11" s="102"/>
      <c r="K11" s="102"/>
      <c r="L11" s="102"/>
      <c r="M11" s="102"/>
      <c r="N11" s="103"/>
    </row>
    <row r="12" spans="1:18" outlineLevel="1" x14ac:dyDescent="0.2">
      <c r="E12" t="s">
        <v>6</v>
      </c>
      <c r="G12" s="104" t="s">
        <v>89</v>
      </c>
      <c r="H12" s="104"/>
      <c r="I12" s="104"/>
      <c r="J12" s="104"/>
      <c r="K12" s="104"/>
      <c r="L12" s="104"/>
      <c r="M12" s="104"/>
      <c r="N12" s="104"/>
    </row>
    <row r="13" spans="1:18" outlineLevel="1" x14ac:dyDescent="0.2"/>
    <row r="14" spans="1:18" outlineLevel="1" x14ac:dyDescent="0.2"/>
    <row r="15" spans="1:18" ht="16.5" thickBot="1" x14ac:dyDescent="0.3">
      <c r="B15" s="52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1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O23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15" s="42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Timing</v>
      </c>
      <c r="I1" s="96"/>
      <c r="J1" s="96"/>
    </row>
    <row r="2" spans="1:15" s="42" customFormat="1" ht="18" x14ac:dyDescent="0.25">
      <c r="A2" s="51" t="str">
        <f ca="1">Model_Name</f>
        <v>Chapter 4 - SP Example Generic Inventory Model.xlsx</v>
      </c>
    </row>
    <row r="3" spans="1:15" s="42" customFormat="1" x14ac:dyDescent="0.2">
      <c r="A3" s="96" t="s">
        <v>1</v>
      </c>
      <c r="B3" s="96"/>
      <c r="C3" s="96"/>
      <c r="D3" s="96"/>
      <c r="E3" s="96"/>
    </row>
    <row r="4" spans="1:15" s="42" customFormat="1" ht="14.25" x14ac:dyDescent="0.2">
      <c r="B4" s="42" t="s">
        <v>2</v>
      </c>
      <c r="F4" s="1">
        <f>Overall_Error_Check</f>
        <v>0</v>
      </c>
    </row>
    <row r="5" spans="1:15" s="2" customFormat="1" x14ac:dyDescent="0.2">
      <c r="J5" s="44">
        <f>J$7</f>
        <v>42916</v>
      </c>
      <c r="K5" s="44">
        <f>K$7</f>
        <v>43281</v>
      </c>
      <c r="L5" s="44">
        <f>L$7</f>
        <v>43646</v>
      </c>
      <c r="M5" s="44">
        <f>M$7</f>
        <v>44012</v>
      </c>
      <c r="N5" s="44">
        <f>N$7</f>
        <v>44377</v>
      </c>
    </row>
    <row r="6" spans="1:15" s="42" customFormat="1" outlineLevel="1" x14ac:dyDescent="0.2">
      <c r="C6" s="2" t="s">
        <v>71</v>
      </c>
      <c r="J6" s="43">
        <f>IF(J$9=1,Model_Start_Date,I$7+1)</f>
        <v>42552</v>
      </c>
      <c r="K6" s="43">
        <f>IF(K$9=1,Model_Start_Date,J$7+1)</f>
        <v>42917</v>
      </c>
      <c r="L6" s="43">
        <f>IF(L$9=1,Model_Start_Date,K$7+1)</f>
        <v>43282</v>
      </c>
      <c r="M6" s="43">
        <f>IF(M$9=1,Model_Start_Date,L$7+1)</f>
        <v>43647</v>
      </c>
      <c r="N6" s="43">
        <f>IF(N$9=1,Model_Start_Date,M$7+1)</f>
        <v>44013</v>
      </c>
    </row>
    <row r="7" spans="1:15" s="42" customFormat="1" outlineLevel="1" x14ac:dyDescent="0.2">
      <c r="C7" s="2" t="s">
        <v>72</v>
      </c>
      <c r="J7" s="43">
        <f>EOMONTH(J$6,MOD(Periodicity+Reporting_Month_Factor-MONTH(J$6),Periodicity))</f>
        <v>42916</v>
      </c>
      <c r="K7" s="43">
        <f>EOMONTH(K$6,MOD(Periodicity+Reporting_Month_Factor-MONTH(K$6),Periodicity))</f>
        <v>43281</v>
      </c>
      <c r="L7" s="43">
        <f>EOMONTH(L$6,MOD(Periodicity+Reporting_Month_Factor-MONTH(L$6),Periodicity))</f>
        <v>43646</v>
      </c>
      <c r="M7" s="43">
        <f>EOMONTH(M$6,MOD(Periodicity+Reporting_Month_Factor-MONTH(M$6),Periodicity))</f>
        <v>44012</v>
      </c>
      <c r="N7" s="43">
        <f>EOMONTH(N$6,MOD(Periodicity+Reporting_Month_Factor-MONTH(N$6),Periodicity))</f>
        <v>44377</v>
      </c>
    </row>
    <row r="8" spans="1:15" s="42" customFormat="1" outlineLevel="1" x14ac:dyDescent="0.2">
      <c r="C8" s="2" t="s">
        <v>74</v>
      </c>
      <c r="J8" s="39">
        <f>J7-J6+1</f>
        <v>365</v>
      </c>
      <c r="K8" s="39">
        <f t="shared" ref="K8:N8" si="0">K7-K6+1</f>
        <v>365</v>
      </c>
      <c r="L8" s="39">
        <f t="shared" si="0"/>
        <v>365</v>
      </c>
      <c r="M8" s="39">
        <f t="shared" si="0"/>
        <v>366</v>
      </c>
      <c r="N8" s="39">
        <f t="shared" si="0"/>
        <v>365</v>
      </c>
    </row>
    <row r="9" spans="1:15" s="42" customFormat="1" outlineLevel="1" x14ac:dyDescent="0.2">
      <c r="C9" s="2" t="s">
        <v>73</v>
      </c>
      <c r="I9" s="28"/>
      <c r="J9" s="39">
        <f>N(I$9)+1</f>
        <v>1</v>
      </c>
      <c r="K9" s="39">
        <f t="shared" ref="K9:N9" si="1">N(J$9)+1</f>
        <v>2</v>
      </c>
      <c r="L9" s="39">
        <f t="shared" si="1"/>
        <v>3</v>
      </c>
      <c r="M9" s="39">
        <f t="shared" si="1"/>
        <v>4</v>
      </c>
      <c r="N9" s="39">
        <f t="shared" si="1"/>
        <v>5</v>
      </c>
    </row>
    <row r="10" spans="1:15" s="42" customFormat="1" x14ac:dyDescent="0.2"/>
    <row r="11" spans="1:15" s="42" customFormat="1" ht="16.5" thickBot="1" x14ac:dyDescent="0.3">
      <c r="B11" s="52">
        <f>MAX($B$10:$B10)+1</f>
        <v>1</v>
      </c>
      <c r="C11" s="46" t="s">
        <v>75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42" customFormat="1" ht="12.75" thickTop="1" x14ac:dyDescent="0.2"/>
    <row r="13" spans="1:15" s="42" customFormat="1" ht="16.5" x14ac:dyDescent="0.25">
      <c r="C13" s="4" t="s">
        <v>76</v>
      </c>
    </row>
    <row r="15" spans="1:15" x14ac:dyDescent="0.2">
      <c r="D15" t="s">
        <v>77</v>
      </c>
      <c r="H15" s="61">
        <v>42552</v>
      </c>
    </row>
    <row r="17" spans="4:9" x14ac:dyDescent="0.2">
      <c r="D17" t="s">
        <v>78</v>
      </c>
      <c r="H17" s="53">
        <v>12</v>
      </c>
    </row>
    <row r="19" spans="4:9" x14ac:dyDescent="0.2">
      <c r="D19" t="s">
        <v>79</v>
      </c>
      <c r="H19" s="53">
        <v>6</v>
      </c>
      <c r="I19" s="23" t="str">
        <f>"e.g. "&amp;TEXT(DATE(YEAR(Model_Start_Date)+IF(Example_Reporting_Month&lt;MONTH(Model_Start_Date),1,0),Example_Reporting_Month+1,1)-1,"dd-Mmm-yy")</f>
        <v>e.g. 30-Jun-17</v>
      </c>
    </row>
    <row r="21" spans="4:9" x14ac:dyDescent="0.2">
      <c r="D21" t="s">
        <v>80</v>
      </c>
      <c r="H21" s="40">
        <f>MOD(Example_Reporting_Month-1,Periodicity)+1</f>
        <v>6</v>
      </c>
    </row>
    <row r="23" spans="4:9" x14ac:dyDescent="0.2">
      <c r="D23" t="s">
        <v>81</v>
      </c>
      <c r="H23" s="62">
        <v>12</v>
      </c>
    </row>
  </sheetData>
  <mergeCells count="2">
    <mergeCell ref="I1:J1"/>
    <mergeCell ref="A3:E3"/>
  </mergeCells>
  <conditionalFormatting sqref="F4">
    <cfRule type="cellIs" dxfId="10" priority="1" operator="notEqual">
      <formula>0</formula>
    </cfRule>
  </conditionalFormatting>
  <dataValidations count="1">
    <dataValidation type="list" allowBlank="1" showInputMessage="1" showErrorMessage="1" sqref="H17" xr:uid="{00000000-0002-0000-0400-000000000000}">
      <formula1>"1,2,3,4,6,12"</formula1>
    </dataValidation>
  </dataValidations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1:O199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2" x14ac:dyDescent="0.2"/>
  <cols>
    <col min="1" max="4" width="3.7109375" style="63" customWidth="1"/>
    <col min="5" max="5" width="30.5703125" style="63" customWidth="1"/>
    <col min="6" max="6" width="12.85546875" style="63" customWidth="1"/>
    <col min="7" max="7" width="22.140625" style="63" customWidth="1"/>
    <col min="8" max="8" width="10.7109375" style="63" customWidth="1"/>
    <col min="9" max="9" width="9.140625" style="63"/>
    <col min="10" max="14" width="10.7109375" style="63" customWidth="1"/>
    <col min="15" max="16384" width="9.140625" style="63"/>
  </cols>
  <sheetData>
    <row r="1" spans="1:15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Inventory Example</v>
      </c>
      <c r="I1" s="96"/>
      <c r="J1" s="96"/>
    </row>
    <row r="2" spans="1:15" ht="18" x14ac:dyDescent="0.25">
      <c r="A2" s="51" t="str">
        <f ca="1">Model_Name</f>
        <v>Chapter 4 - SP Example Generic Inventory Model.xlsx</v>
      </c>
    </row>
    <row r="3" spans="1:15" x14ac:dyDescent="0.2">
      <c r="A3" s="96" t="s">
        <v>1</v>
      </c>
      <c r="B3" s="96"/>
      <c r="C3" s="96"/>
      <c r="D3" s="96"/>
      <c r="E3" s="96"/>
    </row>
    <row r="4" spans="1:15" ht="14.25" x14ac:dyDescent="0.2">
      <c r="B4" s="63" t="s">
        <v>2</v>
      </c>
      <c r="F4" s="1">
        <f>Overall_Error_Check</f>
        <v>0</v>
      </c>
    </row>
    <row r="5" spans="1:15" x14ac:dyDescent="0.2">
      <c r="J5" s="44">
        <f>Timing!J5</f>
        <v>42916</v>
      </c>
      <c r="K5" s="44">
        <f>Timing!K5</f>
        <v>43281</v>
      </c>
      <c r="L5" s="44">
        <f>Timing!L5</f>
        <v>43646</v>
      </c>
      <c r="M5" s="44">
        <f>Timing!M5</f>
        <v>44012</v>
      </c>
      <c r="N5" s="44">
        <f>Timing!N5</f>
        <v>44377</v>
      </c>
    </row>
    <row r="6" spans="1:15" outlineLevel="2" x14ac:dyDescent="0.2">
      <c r="C6" s="63" t="str">
        <f>Timing!C6</f>
        <v>Start Date</v>
      </c>
      <c r="J6" s="43">
        <f>Timing!J6</f>
        <v>42552</v>
      </c>
      <c r="K6" s="43">
        <f>Timing!K6</f>
        <v>42917</v>
      </c>
      <c r="L6" s="43">
        <f>Timing!L6</f>
        <v>43282</v>
      </c>
      <c r="M6" s="43">
        <f>Timing!M6</f>
        <v>43647</v>
      </c>
      <c r="N6" s="43">
        <f>Timing!N6</f>
        <v>44013</v>
      </c>
    </row>
    <row r="7" spans="1:15" outlineLevel="2" x14ac:dyDescent="0.2">
      <c r="C7" s="63" t="str">
        <f>Timing!C7</f>
        <v>End Date</v>
      </c>
      <c r="J7" s="43">
        <f>Timing!J7</f>
        <v>42916</v>
      </c>
      <c r="K7" s="43">
        <f>Timing!K7</f>
        <v>43281</v>
      </c>
      <c r="L7" s="43">
        <f>Timing!L7</f>
        <v>43646</v>
      </c>
      <c r="M7" s="43">
        <f>Timing!M7</f>
        <v>44012</v>
      </c>
      <c r="N7" s="43">
        <f>Timing!N7</f>
        <v>44377</v>
      </c>
    </row>
    <row r="8" spans="1:15" outlineLevel="2" x14ac:dyDescent="0.2">
      <c r="C8" s="63" t="str">
        <f>Timing!C8</f>
        <v>Number of Days</v>
      </c>
      <c r="J8" s="39">
        <f>Timing!J8</f>
        <v>365</v>
      </c>
      <c r="K8" s="39">
        <f>Timing!K8</f>
        <v>365</v>
      </c>
      <c r="L8" s="39">
        <f>Timing!L8</f>
        <v>365</v>
      </c>
      <c r="M8" s="39">
        <f>Timing!M8</f>
        <v>366</v>
      </c>
      <c r="N8" s="39">
        <f>Timing!N8</f>
        <v>365</v>
      </c>
    </row>
    <row r="9" spans="1:15" outlineLevel="2" x14ac:dyDescent="0.2">
      <c r="C9" s="63" t="str">
        <f>Timing!C9</f>
        <v>Counter</v>
      </c>
      <c r="J9" s="39">
        <f>Timing!J9</f>
        <v>1</v>
      </c>
      <c r="K9" s="39">
        <f>Timing!K9</f>
        <v>2</v>
      </c>
      <c r="L9" s="39">
        <f>Timing!L9</f>
        <v>3</v>
      </c>
      <c r="M9" s="39">
        <f>Timing!M9</f>
        <v>4</v>
      </c>
      <c r="N9" s="39">
        <f>Timing!N9</f>
        <v>5</v>
      </c>
    </row>
    <row r="11" spans="1:15" ht="16.5" thickBot="1" x14ac:dyDescent="0.3">
      <c r="B11" s="52">
        <f>MAX($B$10:$B10)+1</f>
        <v>1</v>
      </c>
      <c r="C11" s="46" t="s">
        <v>37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75" outlineLevel="1" thickTop="1" x14ac:dyDescent="0.2"/>
    <row r="13" spans="1:15" ht="16.5" outlineLevel="1" x14ac:dyDescent="0.25">
      <c r="C13" s="4" t="s">
        <v>91</v>
      </c>
    </row>
    <row r="14" spans="1:15" outlineLevel="1" x14ac:dyDescent="0.2"/>
    <row r="15" spans="1:15" outlineLevel="1" x14ac:dyDescent="0.2">
      <c r="D15" s="63" t="s">
        <v>125</v>
      </c>
    </row>
    <row r="16" spans="1:15" outlineLevel="1" x14ac:dyDescent="0.2">
      <c r="D16" s="63" t="s">
        <v>126</v>
      </c>
    </row>
    <row r="17" spans="2:15" outlineLevel="1" x14ac:dyDescent="0.2"/>
    <row r="18" spans="2:15" outlineLevel="1" x14ac:dyDescent="0.2"/>
    <row r="19" spans="2:15" ht="16.5" thickBot="1" x14ac:dyDescent="0.3">
      <c r="B19" s="52">
        <f>MAX($B$10:$B18)+1</f>
        <v>2</v>
      </c>
      <c r="C19" s="46" t="s">
        <v>68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ht="12.75" outlineLevel="1" thickTop="1" x14ac:dyDescent="0.2"/>
    <row r="21" spans="2:15" ht="16.5" outlineLevel="1" x14ac:dyDescent="0.25">
      <c r="C21" s="4" t="s">
        <v>92</v>
      </c>
    </row>
    <row r="22" spans="2:15" outlineLevel="1" x14ac:dyDescent="0.2"/>
    <row r="23" spans="2:15" ht="15" outlineLevel="1" x14ac:dyDescent="0.25">
      <c r="D23" s="64" t="str">
        <f>C19</f>
        <v>Assumptions</v>
      </c>
    </row>
    <row r="24" spans="2:15" outlineLevel="1" x14ac:dyDescent="0.2"/>
    <row r="25" spans="2:15" outlineLevel="1" x14ac:dyDescent="0.2">
      <c r="E25" s="69" t="s">
        <v>99</v>
      </c>
    </row>
    <row r="26" spans="2:15" outlineLevel="1" x14ac:dyDescent="0.2">
      <c r="E26" s="63" t="s">
        <v>93</v>
      </c>
      <c r="F26" s="65" t="s">
        <v>94</v>
      </c>
      <c r="J26" s="66">
        <v>100</v>
      </c>
      <c r="K26" s="66">
        <v>200</v>
      </c>
      <c r="L26" s="66">
        <v>300</v>
      </c>
      <c r="M26" s="66">
        <v>400</v>
      </c>
      <c r="N26" s="66">
        <v>500</v>
      </c>
    </row>
    <row r="27" spans="2:15" outlineLevel="1" x14ac:dyDescent="0.2">
      <c r="E27" s="63" t="s">
        <v>95</v>
      </c>
      <c r="F27" s="65" t="s">
        <v>97</v>
      </c>
      <c r="J27" s="67">
        <v>15</v>
      </c>
      <c r="K27" s="28"/>
      <c r="L27" s="28"/>
      <c r="M27" s="28"/>
      <c r="N27" s="28"/>
    </row>
    <row r="28" spans="2:15" outlineLevel="1" x14ac:dyDescent="0.2">
      <c r="E28" s="63" t="s">
        <v>96</v>
      </c>
      <c r="F28" s="65" t="s">
        <v>98</v>
      </c>
      <c r="J28" s="28"/>
      <c r="K28" s="68">
        <v>0.03</v>
      </c>
      <c r="L28" s="68">
        <v>0.04</v>
      </c>
      <c r="M28" s="68">
        <v>0.05</v>
      </c>
      <c r="N28" s="68">
        <v>0.06</v>
      </c>
    </row>
    <row r="29" spans="2:15" outlineLevel="1" x14ac:dyDescent="0.2"/>
    <row r="30" spans="2:15" outlineLevel="1" x14ac:dyDescent="0.2">
      <c r="E30" s="69" t="s">
        <v>100</v>
      </c>
    </row>
    <row r="31" spans="2:15" outlineLevel="1" x14ac:dyDescent="0.2">
      <c r="E31" s="63" t="s">
        <v>101</v>
      </c>
      <c r="F31" s="70" t="s">
        <v>102</v>
      </c>
      <c r="J31" s="66">
        <v>400</v>
      </c>
      <c r="K31" s="66">
        <v>775</v>
      </c>
      <c r="L31" s="66">
        <v>325</v>
      </c>
      <c r="M31" s="66">
        <v>550</v>
      </c>
      <c r="N31" s="66">
        <v>1000</v>
      </c>
    </row>
    <row r="32" spans="2:15" outlineLevel="1" x14ac:dyDescent="0.2">
      <c r="E32" s="63" t="s">
        <v>103</v>
      </c>
      <c r="F32" s="70" t="s">
        <v>104</v>
      </c>
      <c r="J32" s="67">
        <v>3.99</v>
      </c>
      <c r="K32" s="67">
        <v>4.75</v>
      </c>
      <c r="L32" s="67">
        <v>2.8</v>
      </c>
      <c r="M32" s="67">
        <v>4.16</v>
      </c>
      <c r="N32" s="67">
        <v>5</v>
      </c>
    </row>
    <row r="33" spans="2:15" outlineLevel="1" x14ac:dyDescent="0.2">
      <c r="E33" s="63" t="s">
        <v>111</v>
      </c>
      <c r="F33" s="70" t="s">
        <v>102</v>
      </c>
      <c r="J33" s="67">
        <v>2</v>
      </c>
      <c r="K33" s="67">
        <v>2</v>
      </c>
      <c r="L33" s="67">
        <v>2</v>
      </c>
      <c r="M33" s="67">
        <v>2</v>
      </c>
      <c r="N33" s="67">
        <v>2</v>
      </c>
    </row>
    <row r="34" spans="2:15" outlineLevel="1" x14ac:dyDescent="0.2">
      <c r="E34" s="63" t="s">
        <v>105</v>
      </c>
      <c r="F34" s="70" t="s">
        <v>106</v>
      </c>
      <c r="J34" s="68">
        <v>0.03</v>
      </c>
      <c r="K34" s="68">
        <v>0.02</v>
      </c>
      <c r="L34" s="68">
        <v>0.02</v>
      </c>
      <c r="M34" s="68">
        <v>0.01</v>
      </c>
      <c r="N34" s="68">
        <v>0.01</v>
      </c>
    </row>
    <row r="35" spans="2:15" outlineLevel="1" x14ac:dyDescent="0.2">
      <c r="E35" s="69"/>
    </row>
    <row r="36" spans="2:15" outlineLevel="1" x14ac:dyDescent="0.2">
      <c r="E36" s="69" t="s">
        <v>107</v>
      </c>
    </row>
    <row r="37" spans="2:15" outlineLevel="1" x14ac:dyDescent="0.2">
      <c r="E37" s="63" t="s">
        <v>108</v>
      </c>
      <c r="F37" s="65" t="s">
        <v>110</v>
      </c>
      <c r="J37" s="66">
        <v>60</v>
      </c>
      <c r="K37" s="66">
        <v>60</v>
      </c>
      <c r="L37" s="66">
        <v>60</v>
      </c>
      <c r="M37" s="66">
        <v>60</v>
      </c>
      <c r="N37" s="66">
        <v>60</v>
      </c>
    </row>
    <row r="38" spans="2:15" outlineLevel="1" x14ac:dyDescent="0.2">
      <c r="E38" s="63" t="s">
        <v>109</v>
      </c>
      <c r="F38" s="65" t="s">
        <v>110</v>
      </c>
      <c r="J38" s="66">
        <v>30</v>
      </c>
      <c r="K38" s="66">
        <v>30</v>
      </c>
      <c r="L38" s="66">
        <v>30</v>
      </c>
      <c r="M38" s="66">
        <v>30</v>
      </c>
      <c r="N38" s="66">
        <v>30</v>
      </c>
    </row>
    <row r="39" spans="2:15" outlineLevel="1" x14ac:dyDescent="0.2"/>
    <row r="40" spans="2:15" outlineLevel="1" x14ac:dyDescent="0.2"/>
    <row r="41" spans="2:15" ht="16.5" thickBot="1" x14ac:dyDescent="0.3">
      <c r="B41" s="52">
        <f>MAX($B$10:$B40)+1</f>
        <v>3</v>
      </c>
      <c r="C41" s="46" t="str">
        <f>E25</f>
        <v>Sales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2:15" ht="12.75" outlineLevel="1" thickTop="1" x14ac:dyDescent="0.2"/>
    <row r="43" spans="2:15" ht="16.5" outlineLevel="1" x14ac:dyDescent="0.25">
      <c r="C43" s="4" t="s">
        <v>92</v>
      </c>
    </row>
    <row r="44" spans="2:15" outlineLevel="1" x14ac:dyDescent="0.2"/>
    <row r="45" spans="2:15" ht="15" outlineLevel="1" x14ac:dyDescent="0.25">
      <c r="D45" s="64" t="s">
        <v>112</v>
      </c>
    </row>
    <row r="46" spans="2:15" outlineLevel="1" x14ac:dyDescent="0.2"/>
    <row r="47" spans="2:15" outlineLevel="1" x14ac:dyDescent="0.2">
      <c r="E47" s="63" t="str">
        <f>E26</f>
        <v>Projected Sales</v>
      </c>
      <c r="F47" s="65" t="s">
        <v>94</v>
      </c>
      <c r="H47" s="35" t="str">
        <f>"Row "&amp;ROW(A26)</f>
        <v>Row 26</v>
      </c>
      <c r="J47" s="71">
        <f t="shared" ref="J47:N47" si="0">J26</f>
        <v>100</v>
      </c>
      <c r="K47" s="71">
        <f t="shared" si="0"/>
        <v>200</v>
      </c>
      <c r="L47" s="71">
        <f t="shared" si="0"/>
        <v>300</v>
      </c>
      <c r="M47" s="71">
        <f t="shared" si="0"/>
        <v>400</v>
      </c>
      <c r="N47" s="71">
        <f t="shared" si="0"/>
        <v>500</v>
      </c>
    </row>
    <row r="48" spans="2:15" outlineLevel="1" x14ac:dyDescent="0.2">
      <c r="E48" s="63" t="str">
        <f t="shared" ref="E48:E49" si="1">E27</f>
        <v>Unit Price</v>
      </c>
      <c r="F48" s="65" t="s">
        <v>97</v>
      </c>
      <c r="H48" s="35" t="str">
        <f t="shared" ref="H48:H49" si="2">"Row "&amp;ROW(A27)</f>
        <v>Row 27</v>
      </c>
      <c r="J48" s="72">
        <f>J27</f>
        <v>15</v>
      </c>
      <c r="K48" s="28"/>
      <c r="L48" s="28"/>
      <c r="M48" s="28"/>
      <c r="N48" s="28"/>
    </row>
    <row r="49" spans="4:14" outlineLevel="1" x14ac:dyDescent="0.2">
      <c r="E49" s="63" t="str">
        <f t="shared" si="1"/>
        <v>Inflation</v>
      </c>
      <c r="F49" s="65" t="s">
        <v>98</v>
      </c>
      <c r="H49" s="35" t="str">
        <f t="shared" si="2"/>
        <v>Row 28</v>
      </c>
      <c r="J49" s="28"/>
      <c r="K49" s="73">
        <f>K28</f>
        <v>0.03</v>
      </c>
      <c r="L49" s="73">
        <f t="shared" ref="L49:N49" si="3">L28</f>
        <v>0.04</v>
      </c>
      <c r="M49" s="73">
        <f t="shared" si="3"/>
        <v>0.05</v>
      </c>
      <c r="N49" s="73">
        <f t="shared" si="3"/>
        <v>0.06</v>
      </c>
    </row>
    <row r="50" spans="4:14" outlineLevel="1" x14ac:dyDescent="0.2"/>
    <row r="51" spans="4:14" outlineLevel="1" x14ac:dyDescent="0.2">
      <c r="E51" s="63" t="str">
        <f>E37</f>
        <v>Days Receivable</v>
      </c>
      <c r="F51" s="65" t="s">
        <v>110</v>
      </c>
      <c r="H51" s="35" t="str">
        <f>"Row "&amp;ROW(A37)</f>
        <v>Row 37</v>
      </c>
      <c r="J51" s="71">
        <f>J37</f>
        <v>60</v>
      </c>
      <c r="K51" s="71">
        <f t="shared" ref="K51:N51" si="4">K37</f>
        <v>60</v>
      </c>
      <c r="L51" s="71">
        <f t="shared" si="4"/>
        <v>60</v>
      </c>
      <c r="M51" s="71">
        <f t="shared" si="4"/>
        <v>60</v>
      </c>
      <c r="N51" s="71">
        <f t="shared" si="4"/>
        <v>60</v>
      </c>
    </row>
    <row r="52" spans="4:14" outlineLevel="1" x14ac:dyDescent="0.2"/>
    <row r="53" spans="4:14" outlineLevel="1" x14ac:dyDescent="0.2"/>
    <row r="54" spans="4:14" ht="15" outlineLevel="1" x14ac:dyDescent="0.25">
      <c r="D54" s="64" t="s">
        <v>113</v>
      </c>
    </row>
    <row r="55" spans="4:14" outlineLevel="1" x14ac:dyDescent="0.2"/>
    <row r="56" spans="4:14" outlineLevel="1" x14ac:dyDescent="0.2">
      <c r="E56" s="63" t="s">
        <v>114</v>
      </c>
      <c r="F56" s="65" t="s">
        <v>97</v>
      </c>
      <c r="J56" s="74">
        <f>IF(J$9=1,$J$48,I56*(1+J49))</f>
        <v>15</v>
      </c>
      <c r="K56" s="74">
        <f t="shared" ref="K56:N56" si="5">IF(K$9=1,$J$48,J56*(1+K49))</f>
        <v>15.450000000000001</v>
      </c>
      <c r="L56" s="74">
        <f t="shared" si="5"/>
        <v>16.068000000000001</v>
      </c>
      <c r="M56" s="74">
        <f t="shared" si="5"/>
        <v>16.871400000000001</v>
      </c>
      <c r="N56" s="74">
        <f t="shared" si="5"/>
        <v>17.883684000000002</v>
      </c>
    </row>
    <row r="57" spans="4:14" outlineLevel="1" x14ac:dyDescent="0.2">
      <c r="E57" s="63" t="str">
        <f>E47</f>
        <v>Projected Sales</v>
      </c>
      <c r="F57" s="65" t="s">
        <v>94</v>
      </c>
      <c r="J57" s="75">
        <f>J47</f>
        <v>100</v>
      </c>
      <c r="K57" s="75">
        <f t="shared" ref="K57:N57" si="6">K47</f>
        <v>200</v>
      </c>
      <c r="L57" s="75">
        <f t="shared" si="6"/>
        <v>300</v>
      </c>
      <c r="M57" s="75">
        <f t="shared" si="6"/>
        <v>400</v>
      </c>
      <c r="N57" s="75">
        <f t="shared" si="6"/>
        <v>500</v>
      </c>
    </row>
    <row r="58" spans="4:14" outlineLevel="1" x14ac:dyDescent="0.2">
      <c r="E58" s="69" t="str">
        <f>C43</f>
        <v>Revenue</v>
      </c>
      <c r="F58" s="65" t="s">
        <v>97</v>
      </c>
      <c r="J58" s="76">
        <f>J56*J57</f>
        <v>1500</v>
      </c>
      <c r="K58" s="76">
        <f>K56*K57</f>
        <v>3090</v>
      </c>
      <c r="L58" s="76">
        <f>L56*L57</f>
        <v>4820.4000000000005</v>
      </c>
      <c r="M58" s="76">
        <f>M56*M57</f>
        <v>6748.56</v>
      </c>
      <c r="N58" s="76">
        <f>N56*N57</f>
        <v>8941.8420000000006</v>
      </c>
    </row>
    <row r="59" spans="4:14" outlineLevel="1" x14ac:dyDescent="0.2"/>
    <row r="60" spans="4:14" outlineLevel="1" x14ac:dyDescent="0.2"/>
    <row r="61" spans="4:14" outlineLevel="1" x14ac:dyDescent="0.2">
      <c r="E61" s="63" t="str">
        <f>E51</f>
        <v>Days Receivable</v>
      </c>
      <c r="F61" s="65" t="s">
        <v>110</v>
      </c>
      <c r="J61" s="39">
        <f>J$51</f>
        <v>60</v>
      </c>
      <c r="K61" s="39">
        <f t="shared" ref="K61:N61" si="7">K$51</f>
        <v>60</v>
      </c>
      <c r="L61" s="39">
        <f t="shared" si="7"/>
        <v>60</v>
      </c>
      <c r="M61" s="39">
        <f t="shared" si="7"/>
        <v>60</v>
      </c>
      <c r="N61" s="39">
        <f t="shared" si="7"/>
        <v>60</v>
      </c>
    </row>
    <row r="62" spans="4:14" outlineLevel="1" x14ac:dyDescent="0.2">
      <c r="E62" s="63" t="s">
        <v>115</v>
      </c>
      <c r="F62" s="65" t="s">
        <v>110</v>
      </c>
      <c r="J62" s="39">
        <f>J$8</f>
        <v>365</v>
      </c>
      <c r="K62" s="39">
        <f t="shared" ref="K62:N62" si="8">K$8</f>
        <v>365</v>
      </c>
      <c r="L62" s="39">
        <f t="shared" si="8"/>
        <v>365</v>
      </c>
      <c r="M62" s="39">
        <f t="shared" si="8"/>
        <v>366</v>
      </c>
      <c r="N62" s="39">
        <f t="shared" si="8"/>
        <v>365</v>
      </c>
    </row>
    <row r="63" spans="4:14" outlineLevel="1" x14ac:dyDescent="0.2">
      <c r="E63" s="63" t="s">
        <v>116</v>
      </c>
      <c r="F63" s="65" t="s">
        <v>97</v>
      </c>
      <c r="J63" s="82">
        <f>J58*J61/J62</f>
        <v>246.57534246575344</v>
      </c>
      <c r="K63" s="82">
        <f>K58*K61/K62</f>
        <v>507.94520547945206</v>
      </c>
      <c r="L63" s="82">
        <f>L58*L61/L62</f>
        <v>792.39452054794538</v>
      </c>
      <c r="M63" s="82">
        <f>M58*M61/M62</f>
        <v>1106.3213114754099</v>
      </c>
      <c r="N63" s="82">
        <f>N58*N61/N62</f>
        <v>1469.8918356164384</v>
      </c>
    </row>
    <row r="64" spans="4:14" outlineLevel="1" x14ac:dyDescent="0.2"/>
    <row r="65" spans="2:15" outlineLevel="1" x14ac:dyDescent="0.2"/>
    <row r="66" spans="2:15" ht="15" outlineLevel="1" x14ac:dyDescent="0.25">
      <c r="D66" s="64" t="s">
        <v>117</v>
      </c>
    </row>
    <row r="67" spans="2:15" outlineLevel="1" x14ac:dyDescent="0.2"/>
    <row r="68" spans="2:15" outlineLevel="1" x14ac:dyDescent="0.2">
      <c r="E68" s="63" t="s">
        <v>118</v>
      </c>
      <c r="F68" s="65" t="s">
        <v>97</v>
      </c>
      <c r="I68" s="39"/>
      <c r="J68" s="40">
        <f>I71</f>
        <v>0</v>
      </c>
      <c r="K68" s="40">
        <f t="shared" ref="K68:N68" si="9">J71</f>
        <v>246.57534246575344</v>
      </c>
      <c r="L68" s="40">
        <f t="shared" si="9"/>
        <v>507.94520547945206</v>
      </c>
      <c r="M68" s="40">
        <f t="shared" si="9"/>
        <v>792.39452054794538</v>
      </c>
      <c r="N68" s="40">
        <f t="shared" si="9"/>
        <v>1106.3213114754099</v>
      </c>
      <c r="O68" s="34" t="s">
        <v>120</v>
      </c>
    </row>
    <row r="69" spans="2:15" outlineLevel="1" x14ac:dyDescent="0.2">
      <c r="E69" s="63" t="str">
        <f>E58</f>
        <v>Revenue</v>
      </c>
      <c r="F69" s="65" t="s">
        <v>97</v>
      </c>
      <c r="I69" s="39"/>
      <c r="J69" s="40">
        <f>J58</f>
        <v>1500</v>
      </c>
      <c r="K69" s="40">
        <f>K58</f>
        <v>3090</v>
      </c>
      <c r="L69" s="40">
        <f>L58</f>
        <v>4820.4000000000005</v>
      </c>
      <c r="M69" s="40">
        <f>M58</f>
        <v>6748.56</v>
      </c>
      <c r="N69" s="40">
        <f>N58</f>
        <v>8941.8420000000006</v>
      </c>
      <c r="O69" s="34" t="s">
        <v>121</v>
      </c>
    </row>
    <row r="70" spans="2:15" outlineLevel="1" x14ac:dyDescent="0.2">
      <c r="E70" s="63" t="s">
        <v>119</v>
      </c>
      <c r="F70" s="65" t="s">
        <v>97</v>
      </c>
      <c r="I70" s="39"/>
      <c r="J70" s="40">
        <f>J71-SUM(J68:J69)</f>
        <v>-1253.4246575342465</v>
      </c>
      <c r="K70" s="40">
        <f t="shared" ref="K70:N70" si="10">K71-SUM(K68:K69)</f>
        <v>-2828.6301369863013</v>
      </c>
      <c r="L70" s="40">
        <f t="shared" si="10"/>
        <v>-4535.9506849315076</v>
      </c>
      <c r="M70" s="40">
        <f t="shared" si="10"/>
        <v>-6434.6332090725364</v>
      </c>
      <c r="N70" s="40">
        <f t="shared" si="10"/>
        <v>-8578.2714758589736</v>
      </c>
      <c r="O70" s="34" t="s">
        <v>122</v>
      </c>
    </row>
    <row r="71" spans="2:15" ht="12.75" outlineLevel="1" thickBot="1" x14ac:dyDescent="0.25">
      <c r="E71" s="63" t="str">
        <f>E63</f>
        <v>Closing Receivables</v>
      </c>
      <c r="F71" s="65" t="s">
        <v>97</v>
      </c>
      <c r="I71" s="28"/>
      <c r="J71" s="78">
        <f>J63</f>
        <v>246.57534246575344</v>
      </c>
      <c r="K71" s="79">
        <f t="shared" ref="K71:N71" si="11">K63</f>
        <v>507.94520547945206</v>
      </c>
      <c r="L71" s="79">
        <f t="shared" si="11"/>
        <v>792.39452054794538</v>
      </c>
      <c r="M71" s="79">
        <f t="shared" si="11"/>
        <v>1106.3213114754099</v>
      </c>
      <c r="N71" s="79">
        <f t="shared" si="11"/>
        <v>1469.8918356164384</v>
      </c>
      <c r="O71" s="34" t="s">
        <v>120</v>
      </c>
    </row>
    <row r="72" spans="2:15" ht="12.75" outlineLevel="1" thickTop="1" x14ac:dyDescent="0.2"/>
    <row r="73" spans="2:15" outlineLevel="1" x14ac:dyDescent="0.2"/>
    <row r="74" spans="2:15" ht="16.5" thickBot="1" x14ac:dyDescent="0.3">
      <c r="B74" s="52">
        <f>MAX($B$10:$B73)+1</f>
        <v>4</v>
      </c>
      <c r="C74" s="46" t="s">
        <v>100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2:15" ht="12.75" outlineLevel="1" thickTop="1" x14ac:dyDescent="0.2"/>
    <row r="76" spans="2:15" ht="16.5" outlineLevel="1" x14ac:dyDescent="0.25">
      <c r="C76" s="4" t="s">
        <v>101</v>
      </c>
    </row>
    <row r="77" spans="2:15" outlineLevel="1" x14ac:dyDescent="0.2"/>
    <row r="78" spans="2:15" ht="15" outlineLevel="1" x14ac:dyDescent="0.25">
      <c r="D78" s="64" t="s">
        <v>112</v>
      </c>
    </row>
    <row r="79" spans="2:15" outlineLevel="1" x14ac:dyDescent="0.2"/>
    <row r="80" spans="2:15" outlineLevel="1" x14ac:dyDescent="0.2">
      <c r="E80" s="63" t="str">
        <f>E31</f>
        <v>Purchases</v>
      </c>
      <c r="F80" s="37" t="s">
        <v>102</v>
      </c>
      <c r="H80" s="35" t="str">
        <f>"Row "&amp;ROW(A31)</f>
        <v>Row 31</v>
      </c>
      <c r="J80" s="81">
        <f>J31</f>
        <v>400</v>
      </c>
      <c r="K80" s="81">
        <f t="shared" ref="K80:N80" si="12">K31</f>
        <v>775</v>
      </c>
      <c r="L80" s="81">
        <f t="shared" si="12"/>
        <v>325</v>
      </c>
      <c r="M80" s="81">
        <f t="shared" si="12"/>
        <v>550</v>
      </c>
      <c r="N80" s="81">
        <f t="shared" si="12"/>
        <v>1000</v>
      </c>
    </row>
    <row r="81" spans="4:14" outlineLevel="1" x14ac:dyDescent="0.2">
      <c r="E81" s="63" t="str">
        <f>E32</f>
        <v>Price</v>
      </c>
      <c r="F81" s="37" t="s">
        <v>104</v>
      </c>
      <c r="H81" s="35" t="str">
        <f>"Row "&amp;ROW(A32)</f>
        <v>Row 32</v>
      </c>
      <c r="J81" s="72">
        <f>J32</f>
        <v>3.99</v>
      </c>
      <c r="K81" s="72">
        <f t="shared" ref="K81:N81" si="13">K32</f>
        <v>4.75</v>
      </c>
      <c r="L81" s="72">
        <f t="shared" si="13"/>
        <v>2.8</v>
      </c>
      <c r="M81" s="72">
        <f t="shared" si="13"/>
        <v>4.16</v>
      </c>
      <c r="N81" s="72">
        <f t="shared" si="13"/>
        <v>5</v>
      </c>
    </row>
    <row r="82" spans="4:14" outlineLevel="1" x14ac:dyDescent="0.2"/>
    <row r="83" spans="4:14" outlineLevel="1" x14ac:dyDescent="0.2"/>
    <row r="84" spans="4:14" ht="15" outlineLevel="1" x14ac:dyDescent="0.25">
      <c r="D84" s="64" t="s">
        <v>113</v>
      </c>
    </row>
    <row r="85" spans="4:14" outlineLevel="1" x14ac:dyDescent="0.2"/>
    <row r="86" spans="4:14" outlineLevel="1" x14ac:dyDescent="0.2">
      <c r="E86" s="63" t="str">
        <f>E80</f>
        <v>Purchases</v>
      </c>
      <c r="F86" s="37" t="s">
        <v>102</v>
      </c>
      <c r="J86" s="39">
        <f>J80</f>
        <v>400</v>
      </c>
      <c r="K86" s="39">
        <f t="shared" ref="K86:N86" si="14">K80</f>
        <v>775</v>
      </c>
      <c r="L86" s="39">
        <f t="shared" si="14"/>
        <v>325</v>
      </c>
      <c r="M86" s="39">
        <f t="shared" si="14"/>
        <v>550</v>
      </c>
      <c r="N86" s="39">
        <f t="shared" si="14"/>
        <v>1000</v>
      </c>
    </row>
    <row r="87" spans="4:14" outlineLevel="1" x14ac:dyDescent="0.2">
      <c r="E87" s="63" t="str">
        <f>E81</f>
        <v>Price</v>
      </c>
      <c r="F87" s="37" t="s">
        <v>104</v>
      </c>
      <c r="J87" s="84">
        <f>J81</f>
        <v>3.99</v>
      </c>
      <c r="K87" s="84">
        <f t="shared" ref="K87:N87" si="15">K81</f>
        <v>4.75</v>
      </c>
      <c r="L87" s="84">
        <f t="shared" si="15"/>
        <v>2.8</v>
      </c>
      <c r="M87" s="84">
        <f t="shared" si="15"/>
        <v>4.16</v>
      </c>
      <c r="N87" s="84">
        <f t="shared" si="15"/>
        <v>5</v>
      </c>
    </row>
    <row r="88" spans="4:14" outlineLevel="1" x14ac:dyDescent="0.2">
      <c r="E88" s="69" t="str">
        <f>E86</f>
        <v>Purchases</v>
      </c>
      <c r="F88" s="65" t="s">
        <v>97</v>
      </c>
      <c r="J88" s="76">
        <f>J86*J87</f>
        <v>1596</v>
      </c>
      <c r="K88" s="76">
        <f t="shared" ref="K88:N88" si="16">K86*K87</f>
        <v>3681.25</v>
      </c>
      <c r="L88" s="76">
        <f t="shared" si="16"/>
        <v>909.99999999999989</v>
      </c>
      <c r="M88" s="76">
        <f t="shared" si="16"/>
        <v>2288</v>
      </c>
      <c r="N88" s="76">
        <f t="shared" si="16"/>
        <v>5000</v>
      </c>
    </row>
    <row r="89" spans="4:14" outlineLevel="1" x14ac:dyDescent="0.2"/>
    <row r="90" spans="4:14" outlineLevel="1" x14ac:dyDescent="0.2"/>
    <row r="91" spans="4:14" outlineLevel="1" x14ac:dyDescent="0.2">
      <c r="E91" s="63" t="str">
        <f>E38</f>
        <v>Days Payable</v>
      </c>
      <c r="F91" s="65" t="s">
        <v>110</v>
      </c>
      <c r="J91" s="39">
        <f>J$38</f>
        <v>30</v>
      </c>
      <c r="K91" s="39">
        <f t="shared" ref="K91:N91" si="17">K$38</f>
        <v>30</v>
      </c>
      <c r="L91" s="39">
        <f t="shared" si="17"/>
        <v>30</v>
      </c>
      <c r="M91" s="39">
        <f t="shared" si="17"/>
        <v>30</v>
      </c>
      <c r="N91" s="39">
        <f t="shared" si="17"/>
        <v>30</v>
      </c>
    </row>
    <row r="92" spans="4:14" outlineLevel="1" x14ac:dyDescent="0.2">
      <c r="E92" s="63" t="s">
        <v>115</v>
      </c>
      <c r="F92" s="65" t="s">
        <v>110</v>
      </c>
      <c r="J92" s="39">
        <f>J$8</f>
        <v>365</v>
      </c>
      <c r="K92" s="39">
        <f t="shared" ref="K92:N92" si="18">K$8</f>
        <v>365</v>
      </c>
      <c r="L92" s="39">
        <f t="shared" si="18"/>
        <v>365</v>
      </c>
      <c r="M92" s="39">
        <f t="shared" si="18"/>
        <v>366</v>
      </c>
      <c r="N92" s="39">
        <f t="shared" si="18"/>
        <v>365</v>
      </c>
    </row>
    <row r="93" spans="4:14" outlineLevel="1" x14ac:dyDescent="0.2">
      <c r="E93" s="69" t="s">
        <v>144</v>
      </c>
      <c r="F93" s="65" t="s">
        <v>97</v>
      </c>
      <c r="J93" s="82">
        <f>J88*J91/J92</f>
        <v>131.17808219178082</v>
      </c>
      <c r="K93" s="82">
        <f t="shared" ref="K93:N93" si="19">K88*K91/K92</f>
        <v>302.56849315068496</v>
      </c>
      <c r="L93" s="82">
        <f t="shared" si="19"/>
        <v>74.794520547945197</v>
      </c>
      <c r="M93" s="82">
        <f t="shared" si="19"/>
        <v>187.54098360655738</v>
      </c>
      <c r="N93" s="82">
        <f t="shared" si="19"/>
        <v>410.95890410958901</v>
      </c>
    </row>
    <row r="94" spans="4:14" outlineLevel="1" x14ac:dyDescent="0.2"/>
    <row r="95" spans="4:14" outlineLevel="1" x14ac:dyDescent="0.2"/>
    <row r="96" spans="4:14" ht="15" outlineLevel="1" x14ac:dyDescent="0.25">
      <c r="D96" s="64" t="s">
        <v>117</v>
      </c>
    </row>
    <row r="97" spans="3:15" outlineLevel="1" x14ac:dyDescent="0.2"/>
    <row r="98" spans="3:15" outlineLevel="1" x14ac:dyDescent="0.2">
      <c r="E98" s="63" t="s">
        <v>123</v>
      </c>
      <c r="F98" s="65" t="s">
        <v>97</v>
      </c>
      <c r="I98" s="39"/>
      <c r="J98" s="40">
        <f>I101</f>
        <v>0</v>
      </c>
      <c r="K98" s="40">
        <f t="shared" ref="K98:N98" si="20">J101</f>
        <v>131.17808219178082</v>
      </c>
      <c r="L98" s="40">
        <f t="shared" si="20"/>
        <v>302.56849315068496</v>
      </c>
      <c r="M98" s="40">
        <f t="shared" si="20"/>
        <v>74.794520547945197</v>
      </c>
      <c r="N98" s="40">
        <f t="shared" si="20"/>
        <v>187.54098360655738</v>
      </c>
      <c r="O98" s="34" t="s">
        <v>120</v>
      </c>
    </row>
    <row r="99" spans="3:15" outlineLevel="1" x14ac:dyDescent="0.2">
      <c r="E99" s="63" t="str">
        <f>E88</f>
        <v>Purchases</v>
      </c>
      <c r="F99" s="65" t="s">
        <v>97</v>
      </c>
      <c r="H99" s="88" t="str">
        <f>"Opposite of row "&amp;ROW(A149)</f>
        <v>Opposite of row 149</v>
      </c>
      <c r="I99" s="39"/>
      <c r="J99" s="40">
        <f>J88</f>
        <v>1596</v>
      </c>
      <c r="K99" s="40">
        <f>K88</f>
        <v>3681.25</v>
      </c>
      <c r="L99" s="40">
        <f>L88</f>
        <v>909.99999999999989</v>
      </c>
      <c r="M99" s="40">
        <f>M88</f>
        <v>2288</v>
      </c>
      <c r="N99" s="40">
        <f>N88</f>
        <v>5000</v>
      </c>
      <c r="O99" s="23" t="s">
        <v>134</v>
      </c>
    </row>
    <row r="100" spans="3:15" outlineLevel="1" x14ac:dyDescent="0.2">
      <c r="E100" s="63" t="s">
        <v>124</v>
      </c>
      <c r="F100" s="65" t="s">
        <v>97</v>
      </c>
      <c r="I100" s="39"/>
      <c r="J100" s="40">
        <f>J101-SUM(J98:J99)</f>
        <v>-1464.8219178082193</v>
      </c>
      <c r="K100" s="40">
        <f t="shared" ref="K100" si="21">K101-SUM(K98:K99)</f>
        <v>-3509.8595890410961</v>
      </c>
      <c r="L100" s="40">
        <f t="shared" ref="L100" si="22">L101-SUM(L98:L99)</f>
        <v>-1137.7739726027396</v>
      </c>
      <c r="M100" s="40">
        <f t="shared" ref="M100" si="23">M101-SUM(M98:M99)</f>
        <v>-2175.2535369413877</v>
      </c>
      <c r="N100" s="40">
        <f t="shared" ref="N100" si="24">N101-SUM(N98:N99)</f>
        <v>-4776.5820794969686</v>
      </c>
      <c r="O100" s="34" t="s">
        <v>122</v>
      </c>
    </row>
    <row r="101" spans="3:15" ht="12.75" outlineLevel="1" thickBot="1" x14ac:dyDescent="0.25">
      <c r="E101" s="63" t="str">
        <f>E93</f>
        <v>Closing Payables</v>
      </c>
      <c r="F101" s="65" t="s">
        <v>97</v>
      </c>
      <c r="I101" s="28"/>
      <c r="J101" s="78">
        <f>J93</f>
        <v>131.17808219178082</v>
      </c>
      <c r="K101" s="79">
        <f t="shared" ref="K101:N101" si="25">K93</f>
        <v>302.56849315068496</v>
      </c>
      <c r="L101" s="79">
        <f t="shared" si="25"/>
        <v>74.794520547945197</v>
      </c>
      <c r="M101" s="79">
        <f t="shared" si="25"/>
        <v>187.54098360655738</v>
      </c>
      <c r="N101" s="79">
        <f t="shared" si="25"/>
        <v>410.95890410958901</v>
      </c>
      <c r="O101" s="34" t="s">
        <v>120</v>
      </c>
    </row>
    <row r="102" spans="3:15" ht="12.75" outlineLevel="1" thickTop="1" x14ac:dyDescent="0.2"/>
    <row r="103" spans="3:15" outlineLevel="1" x14ac:dyDescent="0.2"/>
    <row r="104" spans="3:15" ht="16.5" outlineLevel="1" x14ac:dyDescent="0.25">
      <c r="C104" s="4" t="s">
        <v>127</v>
      </c>
    </row>
    <row r="105" spans="3:15" outlineLevel="1" x14ac:dyDescent="0.2"/>
    <row r="106" spans="3:15" ht="15" outlineLevel="1" x14ac:dyDescent="0.25">
      <c r="D106" s="64" t="s">
        <v>112</v>
      </c>
    </row>
    <row r="107" spans="3:15" outlineLevel="1" x14ac:dyDescent="0.2"/>
    <row r="108" spans="3:15" outlineLevel="1" x14ac:dyDescent="0.2">
      <c r="E108" s="63" t="str">
        <f>E31</f>
        <v>Purchases</v>
      </c>
      <c r="F108" s="37" t="s">
        <v>102</v>
      </c>
      <c r="H108" s="35" t="str">
        <f>"Row "&amp;ROW(A31)</f>
        <v>Row 31</v>
      </c>
      <c r="J108" s="81">
        <f t="shared" ref="J108:N108" si="26">J31</f>
        <v>400</v>
      </c>
      <c r="K108" s="81">
        <f t="shared" si="26"/>
        <v>775</v>
      </c>
      <c r="L108" s="81">
        <f t="shared" si="26"/>
        <v>325</v>
      </c>
      <c r="M108" s="81">
        <f t="shared" si="26"/>
        <v>550</v>
      </c>
      <c r="N108" s="81">
        <f t="shared" si="26"/>
        <v>1000</v>
      </c>
    </row>
    <row r="109" spans="3:15" outlineLevel="1" x14ac:dyDescent="0.2">
      <c r="E109" s="63" t="str">
        <f>E88</f>
        <v>Purchases</v>
      </c>
      <c r="F109" s="37" t="s">
        <v>97</v>
      </c>
      <c r="H109" s="35" t="str">
        <f>"Row "&amp;ROW(A88)</f>
        <v>Row 88</v>
      </c>
      <c r="J109" s="81">
        <f>J88</f>
        <v>1596</v>
      </c>
      <c r="K109" s="81">
        <f t="shared" ref="K109:N109" si="27">K88</f>
        <v>3681.25</v>
      </c>
      <c r="L109" s="81">
        <f t="shared" si="27"/>
        <v>909.99999999999989</v>
      </c>
      <c r="M109" s="81">
        <f t="shared" si="27"/>
        <v>2288</v>
      </c>
      <c r="N109" s="81">
        <f t="shared" si="27"/>
        <v>5000</v>
      </c>
    </row>
    <row r="110" spans="3:15" outlineLevel="1" x14ac:dyDescent="0.2">
      <c r="E110" s="63" t="str">
        <f>E33</f>
        <v>Amount Used Per Sale</v>
      </c>
      <c r="F110" s="37" t="s">
        <v>102</v>
      </c>
      <c r="H110" s="35" t="str">
        <f>"Row "&amp;ROW(A33)</f>
        <v>Row 33</v>
      </c>
      <c r="J110" s="72">
        <f t="shared" ref="J110:N111" si="28">J33</f>
        <v>2</v>
      </c>
      <c r="K110" s="72">
        <f t="shared" si="28"/>
        <v>2</v>
      </c>
      <c r="L110" s="72">
        <f t="shared" si="28"/>
        <v>2</v>
      </c>
      <c r="M110" s="72">
        <f t="shared" si="28"/>
        <v>2</v>
      </c>
      <c r="N110" s="72">
        <f t="shared" si="28"/>
        <v>2</v>
      </c>
    </row>
    <row r="111" spans="3:15" outlineLevel="1" x14ac:dyDescent="0.2">
      <c r="E111" s="63" t="str">
        <f>E34</f>
        <v>Wastage</v>
      </c>
      <c r="F111" s="37" t="s">
        <v>106</v>
      </c>
      <c r="H111" s="35" t="str">
        <f>"Row "&amp;ROW(A34)</f>
        <v>Row 34</v>
      </c>
      <c r="J111" s="73">
        <f t="shared" si="28"/>
        <v>0.03</v>
      </c>
      <c r="K111" s="73">
        <f t="shared" si="28"/>
        <v>0.02</v>
      </c>
      <c r="L111" s="73">
        <f t="shared" si="28"/>
        <v>0.02</v>
      </c>
      <c r="M111" s="73">
        <f t="shared" si="28"/>
        <v>0.01</v>
      </c>
      <c r="N111" s="73">
        <f t="shared" si="28"/>
        <v>0.01</v>
      </c>
    </row>
    <row r="112" spans="3:15" outlineLevel="1" x14ac:dyDescent="0.2"/>
    <row r="113" spans="4:14" outlineLevel="1" x14ac:dyDescent="0.2">
      <c r="E113" s="63" t="str">
        <f>E26</f>
        <v>Projected Sales</v>
      </c>
      <c r="F113" s="37" t="s">
        <v>94</v>
      </c>
      <c r="H113" s="35" t="str">
        <f>"Row "&amp;ROW(A26)</f>
        <v>Row 26</v>
      </c>
      <c r="J113" s="81">
        <f>J26</f>
        <v>100</v>
      </c>
      <c r="K113" s="81">
        <f>K26</f>
        <v>200</v>
      </c>
      <c r="L113" s="81">
        <f>L26</f>
        <v>300</v>
      </c>
      <c r="M113" s="81">
        <f>M26</f>
        <v>400</v>
      </c>
      <c r="N113" s="81">
        <f>N26</f>
        <v>500</v>
      </c>
    </row>
    <row r="114" spans="4:14" outlineLevel="1" x14ac:dyDescent="0.2"/>
    <row r="115" spans="4:14" outlineLevel="1" x14ac:dyDescent="0.2"/>
    <row r="116" spans="4:14" ht="15" outlineLevel="1" x14ac:dyDescent="0.25">
      <c r="D116" s="64" t="s">
        <v>113</v>
      </c>
    </row>
    <row r="117" spans="4:14" outlineLevel="1" x14ac:dyDescent="0.2"/>
    <row r="118" spans="4:14" outlineLevel="1" x14ac:dyDescent="0.2">
      <c r="E118" s="63" t="str">
        <f>E110</f>
        <v>Amount Used Per Sale</v>
      </c>
      <c r="F118" s="37" t="s">
        <v>102</v>
      </c>
      <c r="J118" s="77">
        <f>J110</f>
        <v>2</v>
      </c>
      <c r="K118" s="77">
        <f t="shared" ref="K118:N118" si="29">K110</f>
        <v>2</v>
      </c>
      <c r="L118" s="77">
        <f t="shared" si="29"/>
        <v>2</v>
      </c>
      <c r="M118" s="77">
        <f t="shared" si="29"/>
        <v>2</v>
      </c>
      <c r="N118" s="77">
        <f t="shared" si="29"/>
        <v>2</v>
      </c>
    </row>
    <row r="119" spans="4:14" outlineLevel="1" x14ac:dyDescent="0.2">
      <c r="E119" s="63" t="str">
        <f>E113</f>
        <v>Projected Sales</v>
      </c>
      <c r="F119" s="37" t="s">
        <v>94</v>
      </c>
      <c r="H119" s="35" t="str">
        <f>"Row "&amp;ROW(A113)</f>
        <v>Row 113</v>
      </c>
      <c r="J119" s="80">
        <f>J113</f>
        <v>100</v>
      </c>
      <c r="K119" s="80">
        <f t="shared" ref="K119:N119" si="30">K113</f>
        <v>200</v>
      </c>
      <c r="L119" s="80">
        <f t="shared" si="30"/>
        <v>300</v>
      </c>
      <c r="M119" s="80">
        <f t="shared" si="30"/>
        <v>400</v>
      </c>
      <c r="N119" s="80">
        <f t="shared" si="30"/>
        <v>500</v>
      </c>
    </row>
    <row r="120" spans="4:14" outlineLevel="1" x14ac:dyDescent="0.2">
      <c r="E120" s="69" t="s">
        <v>129</v>
      </c>
      <c r="F120" s="37" t="s">
        <v>102</v>
      </c>
      <c r="J120" s="87">
        <f>J118*J119</f>
        <v>200</v>
      </c>
      <c r="K120" s="87">
        <f t="shared" ref="K120:N120" si="31">K118*K119</f>
        <v>400</v>
      </c>
      <c r="L120" s="87">
        <f t="shared" si="31"/>
        <v>600</v>
      </c>
      <c r="M120" s="87">
        <f t="shared" si="31"/>
        <v>800</v>
      </c>
      <c r="N120" s="87">
        <f t="shared" si="31"/>
        <v>1000</v>
      </c>
    </row>
    <row r="121" spans="4:14" outlineLevel="1" x14ac:dyDescent="0.2"/>
    <row r="122" spans="4:14" outlineLevel="1" x14ac:dyDescent="0.2">
      <c r="E122" s="63" t="s">
        <v>131</v>
      </c>
      <c r="F122" s="37" t="s">
        <v>102</v>
      </c>
      <c r="J122" s="80">
        <f>SUM(J139:J141)</f>
        <v>200</v>
      </c>
      <c r="K122" s="80">
        <f t="shared" ref="K122:N122" si="32">SUM(K139:K141)</f>
        <v>569</v>
      </c>
      <c r="L122" s="80">
        <f t="shared" si="32"/>
        <v>282.62</v>
      </c>
      <c r="M122" s="80">
        <f t="shared" si="32"/>
        <v>26.967599999999948</v>
      </c>
      <c r="N122" s="80">
        <f t="shared" si="32"/>
        <v>26.697924000000057</v>
      </c>
    </row>
    <row r="123" spans="4:14" outlineLevel="1" x14ac:dyDescent="0.2">
      <c r="E123" s="63" t="str">
        <f>E111</f>
        <v>Wastage</v>
      </c>
      <c r="F123" s="37" t="s">
        <v>106</v>
      </c>
      <c r="H123" s="35" t="str">
        <f>"Row "&amp;ROW(A111)</f>
        <v>Row 111</v>
      </c>
      <c r="J123" s="86">
        <f>J111</f>
        <v>0.03</v>
      </c>
      <c r="K123" s="86">
        <f t="shared" ref="K123:N123" si="33">K111</f>
        <v>0.02</v>
      </c>
      <c r="L123" s="86">
        <f t="shared" si="33"/>
        <v>0.02</v>
      </c>
      <c r="M123" s="86">
        <f t="shared" si="33"/>
        <v>0.01</v>
      </c>
      <c r="N123" s="86">
        <f t="shared" si="33"/>
        <v>0.01</v>
      </c>
    </row>
    <row r="124" spans="4:14" outlineLevel="1" x14ac:dyDescent="0.2">
      <c r="E124" s="69" t="str">
        <f>E123</f>
        <v>Wastage</v>
      </c>
      <c r="F124" s="37" t="s">
        <v>102</v>
      </c>
      <c r="J124" s="87">
        <f>J122*J123</f>
        <v>6</v>
      </c>
      <c r="K124" s="87">
        <f t="shared" ref="K124" si="34">K122*K123</f>
        <v>11.38</v>
      </c>
      <c r="L124" s="87">
        <f t="shared" ref="L124" si="35">L122*L123</f>
        <v>5.6524000000000001</v>
      </c>
      <c r="M124" s="87">
        <f t="shared" ref="M124" si="36">M122*M123</f>
        <v>0.26967599999999947</v>
      </c>
      <c r="N124" s="87">
        <f t="shared" ref="N124" si="37">N122*N123</f>
        <v>0.26697924000000056</v>
      </c>
    </row>
    <row r="125" spans="4:14" outlineLevel="1" x14ac:dyDescent="0.2"/>
    <row r="126" spans="4:14" outlineLevel="1" x14ac:dyDescent="0.2">
      <c r="E126" s="63" t="s">
        <v>133</v>
      </c>
      <c r="F126" s="37" t="s">
        <v>102</v>
      </c>
      <c r="J126" s="80">
        <f>SUM(J139:J140)</f>
        <v>400</v>
      </c>
      <c r="K126" s="80">
        <f t="shared" ref="K126:N126" si="38">SUM(K139:K140)</f>
        <v>969</v>
      </c>
      <c r="L126" s="80">
        <f t="shared" si="38"/>
        <v>882.62</v>
      </c>
      <c r="M126" s="80">
        <f t="shared" si="38"/>
        <v>826.96759999999995</v>
      </c>
      <c r="N126" s="80">
        <f t="shared" si="38"/>
        <v>1026.6979240000001</v>
      </c>
    </row>
    <row r="127" spans="4:14" outlineLevel="1" x14ac:dyDescent="0.2">
      <c r="E127" s="63" t="s">
        <v>133</v>
      </c>
      <c r="F127" s="37" t="s">
        <v>97</v>
      </c>
      <c r="J127" s="80">
        <f>SUM(J148:J149)</f>
        <v>1596</v>
      </c>
      <c r="K127" s="80">
        <f t="shared" ref="K127:N127" si="39">SUM(K148:K149)</f>
        <v>4455.3099999999995</v>
      </c>
      <c r="L127" s="80">
        <f t="shared" si="39"/>
        <v>3473.8492901960781</v>
      </c>
      <c r="M127" s="80">
        <f t="shared" si="39"/>
        <v>3378.0995906135272</v>
      </c>
      <c r="N127" s="80">
        <f t="shared" si="39"/>
        <v>5109.0589838521255</v>
      </c>
    </row>
    <row r="128" spans="4:14" outlineLevel="1" x14ac:dyDescent="0.2">
      <c r="E128" s="63" t="str">
        <f>E120</f>
        <v>COGS</v>
      </c>
      <c r="F128" s="37" t="s">
        <v>102</v>
      </c>
      <c r="H128" s="35" t="str">
        <f>"Row "&amp;ROW(A120)</f>
        <v>Row 120</v>
      </c>
      <c r="J128" s="80">
        <f>J120</f>
        <v>200</v>
      </c>
      <c r="K128" s="80">
        <f t="shared" ref="K128:N128" si="40">K120</f>
        <v>400</v>
      </c>
      <c r="L128" s="80">
        <f t="shared" si="40"/>
        <v>600</v>
      </c>
      <c r="M128" s="80">
        <f t="shared" si="40"/>
        <v>800</v>
      </c>
      <c r="N128" s="80">
        <f t="shared" si="40"/>
        <v>1000</v>
      </c>
    </row>
    <row r="129" spans="4:14" outlineLevel="1" x14ac:dyDescent="0.2">
      <c r="E129" s="69" t="str">
        <f>E120</f>
        <v>COGS</v>
      </c>
      <c r="F129" s="37" t="s">
        <v>97</v>
      </c>
      <c r="J129" s="87">
        <f>IF(J126,J127*J128/J126,)</f>
        <v>798</v>
      </c>
      <c r="K129" s="87">
        <f t="shared" ref="K129:N129" si="41">IF(K126,K127*K128/K126,)</f>
        <v>1839.1372549019604</v>
      </c>
      <c r="L129" s="87">
        <f t="shared" si="41"/>
        <v>2361.5027691618666</v>
      </c>
      <c r="M129" s="87">
        <f t="shared" si="41"/>
        <v>3267.9390008639057</v>
      </c>
      <c r="N129" s="87">
        <f t="shared" si="41"/>
        <v>4976.2046502902303</v>
      </c>
    </row>
    <row r="130" spans="4:14" outlineLevel="1" x14ac:dyDescent="0.2"/>
    <row r="131" spans="4:14" outlineLevel="1" x14ac:dyDescent="0.2">
      <c r="E131" s="63" t="s">
        <v>131</v>
      </c>
      <c r="F131" s="37" t="s">
        <v>102</v>
      </c>
      <c r="J131" s="80">
        <f>J126-J128</f>
        <v>200</v>
      </c>
      <c r="K131" s="80">
        <f t="shared" ref="K131:N131" si="42">K126-K128</f>
        <v>569</v>
      </c>
      <c r="L131" s="80">
        <f t="shared" si="42"/>
        <v>282.62</v>
      </c>
      <c r="M131" s="80">
        <f t="shared" si="42"/>
        <v>26.967599999999948</v>
      </c>
      <c r="N131" s="80">
        <f t="shared" si="42"/>
        <v>26.697924000000057</v>
      </c>
    </row>
    <row r="132" spans="4:14" outlineLevel="1" x14ac:dyDescent="0.2">
      <c r="E132" s="63" t="s">
        <v>133</v>
      </c>
      <c r="F132" s="37" t="s">
        <v>97</v>
      </c>
      <c r="J132" s="80">
        <f>J127-J129</f>
        <v>798</v>
      </c>
      <c r="K132" s="80">
        <f t="shared" ref="K132:N132" si="43">K127-K129</f>
        <v>2616.1727450980388</v>
      </c>
      <c r="L132" s="80">
        <f t="shared" si="43"/>
        <v>1112.3465210342115</v>
      </c>
      <c r="M132" s="80">
        <f t="shared" si="43"/>
        <v>110.16058974962152</v>
      </c>
      <c r="N132" s="80">
        <f t="shared" si="43"/>
        <v>132.85433356189515</v>
      </c>
    </row>
    <row r="133" spans="4:14" outlineLevel="1" x14ac:dyDescent="0.2">
      <c r="E133" s="63" t="str">
        <f>E123</f>
        <v>Wastage</v>
      </c>
      <c r="F133" s="37" t="s">
        <v>102</v>
      </c>
      <c r="H133" s="35" t="str">
        <f>"Row "&amp;ROW(A46)</f>
        <v>Row 46</v>
      </c>
      <c r="J133" s="80">
        <f>J124</f>
        <v>6</v>
      </c>
      <c r="K133" s="80">
        <f t="shared" ref="K133:N133" si="44">K124</f>
        <v>11.38</v>
      </c>
      <c r="L133" s="80">
        <f t="shared" si="44"/>
        <v>5.6524000000000001</v>
      </c>
      <c r="M133" s="80">
        <f t="shared" si="44"/>
        <v>0.26967599999999947</v>
      </c>
      <c r="N133" s="80">
        <f t="shared" si="44"/>
        <v>0.26697924000000056</v>
      </c>
    </row>
    <row r="134" spans="4:14" outlineLevel="1" x14ac:dyDescent="0.2">
      <c r="E134" s="69" t="str">
        <f>E123</f>
        <v>Wastage</v>
      </c>
      <c r="F134" s="37" t="s">
        <v>97</v>
      </c>
      <c r="J134" s="87">
        <f>IF(J131,J132*J133/J131,)</f>
        <v>23.94</v>
      </c>
      <c r="K134" s="87">
        <f t="shared" ref="K134" si="45">IF(K131,K132*K133/K131,)</f>
        <v>52.32345490196078</v>
      </c>
      <c r="L134" s="87">
        <f t="shared" ref="L134" si="46">IF(L131,L132*L133/L131,)</f>
        <v>22.24693042068423</v>
      </c>
      <c r="M134" s="87">
        <f t="shared" ref="M134" si="47">IF(M131,M132*M133/M131,)</f>
        <v>1.1016058974962153</v>
      </c>
      <c r="N134" s="87">
        <f t="shared" ref="N134" si="48">IF(N131,N132*N133/N131,)</f>
        <v>1.3285433356189513</v>
      </c>
    </row>
    <row r="135" spans="4:14" outlineLevel="1" x14ac:dyDescent="0.2"/>
    <row r="136" spans="4:14" outlineLevel="1" x14ac:dyDescent="0.2"/>
    <row r="137" spans="4:14" ht="15" outlineLevel="1" x14ac:dyDescent="0.25">
      <c r="D137" s="64" t="str">
        <f>C104</f>
        <v>Inventory at Hand (kg)</v>
      </c>
    </row>
    <row r="138" spans="4:14" outlineLevel="1" x14ac:dyDescent="0.2"/>
    <row r="139" spans="4:14" outlineLevel="1" x14ac:dyDescent="0.2">
      <c r="E139" s="63" t="s">
        <v>128</v>
      </c>
      <c r="F139" s="37" t="s">
        <v>102</v>
      </c>
      <c r="J139" s="40">
        <f>I143</f>
        <v>0</v>
      </c>
      <c r="K139" s="40">
        <f t="shared" ref="K139:N139" si="49">J143</f>
        <v>194</v>
      </c>
      <c r="L139" s="40">
        <f t="shared" si="49"/>
        <v>557.62</v>
      </c>
      <c r="M139" s="40">
        <f t="shared" si="49"/>
        <v>276.9676</v>
      </c>
      <c r="N139" s="40">
        <f t="shared" si="49"/>
        <v>26.697923999999947</v>
      </c>
    </row>
    <row r="140" spans="4:14" outlineLevel="1" x14ac:dyDescent="0.2">
      <c r="E140" s="63" t="s">
        <v>101</v>
      </c>
      <c r="F140" s="37" t="s">
        <v>102</v>
      </c>
      <c r="J140" s="40">
        <f>J108</f>
        <v>400</v>
      </c>
      <c r="K140" s="40">
        <f>K108</f>
        <v>775</v>
      </c>
      <c r="L140" s="40">
        <f>L108</f>
        <v>325</v>
      </c>
      <c r="M140" s="40">
        <f>M108</f>
        <v>550</v>
      </c>
      <c r="N140" s="40">
        <f>N108</f>
        <v>1000</v>
      </c>
    </row>
    <row r="141" spans="4:14" outlineLevel="1" x14ac:dyDescent="0.2">
      <c r="E141" s="63" t="str">
        <f>E120</f>
        <v>COGS</v>
      </c>
      <c r="F141" s="37" t="s">
        <v>102</v>
      </c>
      <c r="J141" s="40">
        <f>-J120</f>
        <v>-200</v>
      </c>
      <c r="K141" s="40">
        <f>-K120</f>
        <v>-400</v>
      </c>
      <c r="L141" s="40">
        <f>-L120</f>
        <v>-600</v>
      </c>
      <c r="M141" s="40">
        <f>-M120</f>
        <v>-800</v>
      </c>
      <c r="N141" s="40">
        <f>-N120</f>
        <v>-1000</v>
      </c>
    </row>
    <row r="142" spans="4:14" outlineLevel="1" x14ac:dyDescent="0.2">
      <c r="E142" s="63" t="s">
        <v>105</v>
      </c>
      <c r="F142" s="37" t="s">
        <v>102</v>
      </c>
      <c r="J142" s="40">
        <f>-J124</f>
        <v>-6</v>
      </c>
      <c r="K142" s="40">
        <f>-K124</f>
        <v>-11.38</v>
      </c>
      <c r="L142" s="40">
        <f>-L124</f>
        <v>-5.6524000000000001</v>
      </c>
      <c r="M142" s="40">
        <f>-M124</f>
        <v>-0.26967599999999947</v>
      </c>
      <c r="N142" s="40">
        <f>-N124</f>
        <v>-0.26697924000000056</v>
      </c>
    </row>
    <row r="143" spans="4:14" ht="12.75" outlineLevel="1" thickBot="1" x14ac:dyDescent="0.25">
      <c r="E143" s="63" t="s">
        <v>130</v>
      </c>
      <c r="F143" s="37" t="s">
        <v>102</v>
      </c>
      <c r="I143" s="28"/>
      <c r="J143" s="78">
        <f>SUM(J139:J142)</f>
        <v>194</v>
      </c>
      <c r="K143" s="79">
        <f t="shared" ref="K143:N143" si="50">SUM(K139:K142)</f>
        <v>557.62</v>
      </c>
      <c r="L143" s="79">
        <f t="shared" si="50"/>
        <v>276.9676</v>
      </c>
      <c r="M143" s="79">
        <f t="shared" si="50"/>
        <v>26.697923999999947</v>
      </c>
      <c r="N143" s="79">
        <f t="shared" si="50"/>
        <v>26.430944760000056</v>
      </c>
    </row>
    <row r="144" spans="4:14" ht="12.75" outlineLevel="1" thickTop="1" x14ac:dyDescent="0.2"/>
    <row r="145" spans="2:15" outlineLevel="1" x14ac:dyDescent="0.2"/>
    <row r="146" spans="2:15" ht="15" outlineLevel="1" x14ac:dyDescent="0.25">
      <c r="D146" s="64" t="s">
        <v>132</v>
      </c>
    </row>
    <row r="147" spans="2:15" outlineLevel="1" x14ac:dyDescent="0.2"/>
    <row r="148" spans="2:15" outlineLevel="1" x14ac:dyDescent="0.2">
      <c r="E148" s="63" t="str">
        <f>E139</f>
        <v>Opening Inventory</v>
      </c>
      <c r="F148" s="37" t="s">
        <v>97</v>
      </c>
      <c r="J148" s="40">
        <f>I152</f>
        <v>0</v>
      </c>
      <c r="K148" s="40">
        <f t="shared" ref="K148:N148" si="51">J152</f>
        <v>774.06</v>
      </c>
      <c r="L148" s="40">
        <f t="shared" si="51"/>
        <v>2563.8492901960781</v>
      </c>
      <c r="M148" s="40">
        <f t="shared" si="51"/>
        <v>1090.0995906135272</v>
      </c>
      <c r="N148" s="40">
        <f t="shared" si="51"/>
        <v>109.05898385212531</v>
      </c>
      <c r="O148" s="34" t="s">
        <v>120</v>
      </c>
    </row>
    <row r="149" spans="2:15" outlineLevel="1" x14ac:dyDescent="0.2">
      <c r="E149" s="63" t="str">
        <f t="shared" ref="E149:E152" si="52">E140</f>
        <v>Purchases</v>
      </c>
      <c r="F149" s="37" t="s">
        <v>97</v>
      </c>
      <c r="H149" s="88" t="str">
        <f>"Opposite of row "&amp;ROW(A99)</f>
        <v>Opposite of row 99</v>
      </c>
      <c r="J149" s="40">
        <f>J109</f>
        <v>1596</v>
      </c>
      <c r="K149" s="40">
        <f t="shared" ref="K149:N149" si="53">K109</f>
        <v>3681.25</v>
      </c>
      <c r="L149" s="40">
        <f t="shared" si="53"/>
        <v>909.99999999999989</v>
      </c>
      <c r="M149" s="40">
        <f t="shared" si="53"/>
        <v>2288</v>
      </c>
      <c r="N149" s="40">
        <f t="shared" si="53"/>
        <v>5000</v>
      </c>
      <c r="O149" s="23" t="s">
        <v>134</v>
      </c>
    </row>
    <row r="150" spans="2:15" outlineLevel="1" x14ac:dyDescent="0.2">
      <c r="E150" s="63" t="str">
        <f t="shared" si="52"/>
        <v>COGS</v>
      </c>
      <c r="F150" s="37" t="s">
        <v>97</v>
      </c>
      <c r="J150" s="40">
        <f>-J129</f>
        <v>-798</v>
      </c>
      <c r="K150" s="40">
        <f>-K129</f>
        <v>-1839.1372549019604</v>
      </c>
      <c r="L150" s="40">
        <f>-L129</f>
        <v>-2361.5027691618666</v>
      </c>
      <c r="M150" s="40">
        <f>-M129</f>
        <v>-3267.9390008639057</v>
      </c>
      <c r="N150" s="40">
        <f>-N129</f>
        <v>-4976.2046502902303</v>
      </c>
      <c r="O150" s="34" t="s">
        <v>121</v>
      </c>
    </row>
    <row r="151" spans="2:15" outlineLevel="1" x14ac:dyDescent="0.2">
      <c r="E151" s="63" t="str">
        <f t="shared" si="52"/>
        <v>Wastage</v>
      </c>
      <c r="F151" s="37" t="s">
        <v>97</v>
      </c>
      <c r="J151" s="40">
        <f>-J134</f>
        <v>-23.94</v>
      </c>
      <c r="K151" s="40">
        <f>-K134</f>
        <v>-52.32345490196078</v>
      </c>
      <c r="L151" s="40">
        <f>-L134</f>
        <v>-22.24693042068423</v>
      </c>
      <c r="M151" s="40">
        <f>-M134</f>
        <v>-1.1016058974962153</v>
      </c>
      <c r="N151" s="40">
        <f>-N134</f>
        <v>-1.3285433356189513</v>
      </c>
      <c r="O151" s="34" t="s">
        <v>121</v>
      </c>
    </row>
    <row r="152" spans="2:15" ht="12.75" outlineLevel="1" thickBot="1" x14ac:dyDescent="0.25">
      <c r="E152" s="63" t="str">
        <f t="shared" si="52"/>
        <v>Closing Inventory</v>
      </c>
      <c r="F152" s="37" t="s">
        <v>97</v>
      </c>
      <c r="I152" s="28"/>
      <c r="J152" s="78">
        <f>SUM(J148:J151)</f>
        <v>774.06</v>
      </c>
      <c r="K152" s="79">
        <f t="shared" ref="K152" si="54">SUM(K148:K151)</f>
        <v>2563.8492901960781</v>
      </c>
      <c r="L152" s="79">
        <f t="shared" ref="L152" si="55">SUM(L148:L151)</f>
        <v>1090.0995906135272</v>
      </c>
      <c r="M152" s="79">
        <f t="shared" ref="M152" si="56">SUM(M148:M151)</f>
        <v>109.05898385212531</v>
      </c>
      <c r="N152" s="79">
        <f t="shared" ref="N152" si="57">SUM(N148:N151)</f>
        <v>131.5257902262762</v>
      </c>
      <c r="O152" s="34" t="s">
        <v>120</v>
      </c>
    </row>
    <row r="153" spans="2:15" ht="12.75" outlineLevel="1" thickTop="1" x14ac:dyDescent="0.2"/>
    <row r="154" spans="2:15" outlineLevel="1" x14ac:dyDescent="0.2"/>
    <row r="155" spans="2:15" outlineLevel="1" x14ac:dyDescent="0.2">
      <c r="E155" s="63" t="s">
        <v>154</v>
      </c>
      <c r="F155" s="37" t="s">
        <v>150</v>
      </c>
      <c r="I155" s="92">
        <f>MIN(SUM(J155:N155),1)</f>
        <v>0</v>
      </c>
      <c r="J155" s="90">
        <f>IFERROR((ROUND(J99-J149,Rounding_Accuracy)&lt;&gt;0)*1,1)</f>
        <v>0</v>
      </c>
      <c r="K155" s="90">
        <f>IFERROR((ROUND(K99-K149,Rounding_Accuracy)&lt;&gt;0)*1,1)</f>
        <v>0</v>
      </c>
      <c r="L155" s="90">
        <f>IFERROR((ROUND(L99-L149,Rounding_Accuracy)&lt;&gt;0)*1,1)</f>
        <v>0</v>
      </c>
      <c r="M155" s="90">
        <f>IFERROR((ROUND(M99-M149,Rounding_Accuracy)&lt;&gt;0)*1,1)</f>
        <v>0</v>
      </c>
      <c r="N155" s="90">
        <f>IFERROR((ROUND(N99-N149,Rounding_Accuracy)&lt;&gt;0)*1,1)</f>
        <v>0</v>
      </c>
    </row>
    <row r="156" spans="2:15" outlineLevel="1" x14ac:dyDescent="0.2"/>
    <row r="157" spans="2:15" outlineLevel="1" x14ac:dyDescent="0.2"/>
    <row r="158" spans="2:15" ht="16.5" thickBot="1" x14ac:dyDescent="0.3">
      <c r="B158" s="52">
        <f>MAX($B$10:$B157)+1</f>
        <v>5</v>
      </c>
      <c r="C158" s="46" t="s">
        <v>135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2:15" ht="12.75" outlineLevel="1" thickTop="1" x14ac:dyDescent="0.2"/>
    <row r="160" spans="2:15" ht="16.5" outlineLevel="1" x14ac:dyDescent="0.25">
      <c r="C160" s="4" t="s">
        <v>136</v>
      </c>
    </row>
    <row r="161" spans="3:14" outlineLevel="1" x14ac:dyDescent="0.2"/>
    <row r="162" spans="3:14" outlineLevel="1" x14ac:dyDescent="0.2">
      <c r="E162" s="63" t="str">
        <f>E69</f>
        <v>Revenue</v>
      </c>
      <c r="F162" s="37" t="s">
        <v>97</v>
      </c>
      <c r="J162" s="40">
        <f t="shared" ref="J162" si="58">J69</f>
        <v>1500</v>
      </c>
      <c r="K162" s="40">
        <f t="shared" ref="K162:N162" si="59">K69</f>
        <v>3090</v>
      </c>
      <c r="L162" s="40">
        <f t="shared" si="59"/>
        <v>4820.4000000000005</v>
      </c>
      <c r="M162" s="40">
        <f t="shared" si="59"/>
        <v>6748.56</v>
      </c>
      <c r="N162" s="40">
        <f t="shared" si="59"/>
        <v>8941.8420000000006</v>
      </c>
    </row>
    <row r="163" spans="3:14" outlineLevel="1" x14ac:dyDescent="0.2">
      <c r="E163" s="63" t="str">
        <f>E150</f>
        <v>COGS</v>
      </c>
      <c r="F163" s="37" t="s">
        <v>97</v>
      </c>
      <c r="J163" s="83">
        <f t="shared" ref="J163" si="60">J150</f>
        <v>-798</v>
      </c>
      <c r="K163" s="83">
        <f t="shared" ref="K163:N163" si="61">K150</f>
        <v>-1839.1372549019604</v>
      </c>
      <c r="L163" s="83">
        <f t="shared" si="61"/>
        <v>-2361.5027691618666</v>
      </c>
      <c r="M163" s="83">
        <f t="shared" si="61"/>
        <v>-3267.9390008639057</v>
      </c>
      <c r="N163" s="83">
        <f t="shared" si="61"/>
        <v>-4976.2046502902303</v>
      </c>
    </row>
    <row r="164" spans="3:14" outlineLevel="1" x14ac:dyDescent="0.2">
      <c r="E164" s="63" t="s">
        <v>137</v>
      </c>
      <c r="F164" s="37" t="s">
        <v>97</v>
      </c>
      <c r="J164" s="80">
        <f>SUM(J162:J163)</f>
        <v>702</v>
      </c>
      <c r="K164" s="80">
        <f t="shared" ref="K164:N164" si="62">SUM(K162:K163)</f>
        <v>1250.8627450980396</v>
      </c>
      <c r="L164" s="80">
        <f t="shared" si="62"/>
        <v>2458.897230838134</v>
      </c>
      <c r="M164" s="80">
        <f t="shared" si="62"/>
        <v>3480.6209991360947</v>
      </c>
      <c r="N164" s="80">
        <f t="shared" si="62"/>
        <v>3965.6373497097702</v>
      </c>
    </row>
    <row r="165" spans="3:14" outlineLevel="1" x14ac:dyDescent="0.2">
      <c r="E165" s="63" t="s">
        <v>105</v>
      </c>
      <c r="F165" s="37" t="s">
        <v>97</v>
      </c>
      <c r="J165" s="83">
        <f>J151</f>
        <v>-23.94</v>
      </c>
      <c r="K165" s="83">
        <f t="shared" ref="K165:N165" si="63">K151</f>
        <v>-52.32345490196078</v>
      </c>
      <c r="L165" s="83">
        <f t="shared" si="63"/>
        <v>-22.24693042068423</v>
      </c>
      <c r="M165" s="83">
        <f t="shared" si="63"/>
        <v>-1.1016058974962153</v>
      </c>
      <c r="N165" s="83">
        <f t="shared" si="63"/>
        <v>-1.3285433356189513</v>
      </c>
    </row>
    <row r="166" spans="3:14" ht="12.75" outlineLevel="1" thickBot="1" x14ac:dyDescent="0.25">
      <c r="E166" s="69" t="s">
        <v>138</v>
      </c>
      <c r="F166" s="37" t="s">
        <v>97</v>
      </c>
      <c r="J166" s="79">
        <f>SUM(J164:J165)</f>
        <v>678.06</v>
      </c>
      <c r="K166" s="79">
        <f t="shared" ref="K166" si="64">SUM(K164:K165)</f>
        <v>1198.5392901960788</v>
      </c>
      <c r="L166" s="79">
        <f t="shared" ref="L166" si="65">SUM(L164:L165)</f>
        <v>2436.6503004174497</v>
      </c>
      <c r="M166" s="79">
        <f t="shared" ref="M166" si="66">SUM(M164:M165)</f>
        <v>3479.5193932385987</v>
      </c>
      <c r="N166" s="79">
        <f t="shared" ref="N166" si="67">SUM(N164:N165)</f>
        <v>3964.3088063741511</v>
      </c>
    </row>
    <row r="167" spans="3:14" ht="12.75" outlineLevel="1" thickTop="1" x14ac:dyDescent="0.2"/>
    <row r="168" spans="3:14" outlineLevel="1" x14ac:dyDescent="0.2"/>
    <row r="169" spans="3:14" ht="16.5" outlineLevel="1" x14ac:dyDescent="0.25">
      <c r="C169" s="4" t="s">
        <v>139</v>
      </c>
    </row>
    <row r="170" spans="3:14" outlineLevel="1" x14ac:dyDescent="0.2"/>
    <row r="171" spans="3:14" outlineLevel="1" x14ac:dyDescent="0.2">
      <c r="E171" s="63" t="s">
        <v>140</v>
      </c>
      <c r="F171" s="37" t="s">
        <v>97</v>
      </c>
      <c r="J171" s="80">
        <f>MAX(SUM($J197:J197),)</f>
        <v>0</v>
      </c>
      <c r="K171" s="80">
        <f>MAX(SUM($J197:K197),)</f>
        <v>0</v>
      </c>
      <c r="L171" s="80">
        <f>MAX(SUM($J197:L197),)</f>
        <v>2505.5500000000006</v>
      </c>
      <c r="M171" s="80">
        <f>MAX(SUM($J197:M197),)</f>
        <v>6764.9296721311493</v>
      </c>
      <c r="N171" s="80">
        <f>MAX(SUM($J197:N197),)</f>
        <v>10566.619068493153</v>
      </c>
    </row>
    <row r="172" spans="3:14" outlineLevel="1" x14ac:dyDescent="0.2">
      <c r="E172" s="63" t="s">
        <v>100</v>
      </c>
      <c r="F172" s="37" t="s">
        <v>97</v>
      </c>
      <c r="J172" s="80">
        <f>J152</f>
        <v>774.06</v>
      </c>
      <c r="K172" s="80">
        <f t="shared" ref="K172:N172" si="68">K152</f>
        <v>2563.8492901960781</v>
      </c>
      <c r="L172" s="80">
        <f t="shared" si="68"/>
        <v>1090.0995906135272</v>
      </c>
      <c r="M172" s="80">
        <f t="shared" si="68"/>
        <v>109.05898385212531</v>
      </c>
      <c r="N172" s="80">
        <f t="shared" si="68"/>
        <v>131.5257902262762</v>
      </c>
    </row>
    <row r="173" spans="3:14" outlineLevel="1" x14ac:dyDescent="0.2">
      <c r="E173" s="63" t="str">
        <f>E71</f>
        <v>Closing Receivables</v>
      </c>
      <c r="F173" s="37" t="s">
        <v>97</v>
      </c>
      <c r="J173" s="83">
        <f>J71</f>
        <v>246.57534246575344</v>
      </c>
      <c r="K173" s="83">
        <f t="shared" ref="K173:N173" si="69">K71</f>
        <v>507.94520547945206</v>
      </c>
      <c r="L173" s="83">
        <f t="shared" si="69"/>
        <v>792.39452054794538</v>
      </c>
      <c r="M173" s="83">
        <f t="shared" si="69"/>
        <v>1106.3213114754099</v>
      </c>
      <c r="N173" s="83">
        <f t="shared" si="69"/>
        <v>1469.8918356164384</v>
      </c>
    </row>
    <row r="174" spans="3:14" outlineLevel="1" x14ac:dyDescent="0.2">
      <c r="E174" s="69" t="s">
        <v>143</v>
      </c>
      <c r="F174" s="37" t="s">
        <v>97</v>
      </c>
      <c r="J174" s="85">
        <f>SUM(J171:J173)</f>
        <v>1020.6353424657534</v>
      </c>
      <c r="K174" s="85">
        <f t="shared" ref="K174:N174" si="70">SUM(K171:K173)</f>
        <v>3071.79449567553</v>
      </c>
      <c r="L174" s="85">
        <f t="shared" si="70"/>
        <v>4388.0441111614728</v>
      </c>
      <c r="M174" s="85">
        <f t="shared" si="70"/>
        <v>7980.3099674586847</v>
      </c>
      <c r="N174" s="85">
        <f t="shared" si="70"/>
        <v>12168.036694335868</v>
      </c>
    </row>
    <row r="175" spans="3:14" outlineLevel="1" x14ac:dyDescent="0.2">
      <c r="F175" s="37"/>
      <c r="J175" s="80"/>
      <c r="K175" s="80"/>
      <c r="L175" s="80"/>
      <c r="M175" s="80"/>
      <c r="N175" s="80"/>
    </row>
    <row r="176" spans="3:14" outlineLevel="1" x14ac:dyDescent="0.2">
      <c r="E176" s="63" t="s">
        <v>156</v>
      </c>
      <c r="F176" s="37" t="s">
        <v>97</v>
      </c>
      <c r="J176" s="80">
        <f>-MIN(SUM($J197:J197),)</f>
        <v>211.39726027397273</v>
      </c>
      <c r="K176" s="80">
        <f>-MIN(SUM($J197:K197),)</f>
        <v>892.62671232876755</v>
      </c>
      <c r="L176" s="80">
        <f>-MIN(SUM($J197:L197),)</f>
        <v>0</v>
      </c>
      <c r="M176" s="80">
        <f>-MIN(SUM($J197:M197),)</f>
        <v>0</v>
      </c>
      <c r="N176" s="80">
        <f>-MIN(SUM($J197:N197),)</f>
        <v>0</v>
      </c>
    </row>
    <row r="177" spans="4:14" outlineLevel="1" x14ac:dyDescent="0.2">
      <c r="E177" s="63" t="str">
        <f>E101</f>
        <v>Closing Payables</v>
      </c>
      <c r="F177" s="37" t="s">
        <v>97</v>
      </c>
      <c r="J177" s="83">
        <f>J101</f>
        <v>131.17808219178082</v>
      </c>
      <c r="K177" s="83">
        <f>K101</f>
        <v>302.56849315068496</v>
      </c>
      <c r="L177" s="83">
        <f>L101</f>
        <v>74.794520547945197</v>
      </c>
      <c r="M177" s="83">
        <f>M101</f>
        <v>187.54098360655738</v>
      </c>
      <c r="N177" s="83">
        <f>N101</f>
        <v>410.95890410958901</v>
      </c>
    </row>
    <row r="178" spans="4:14" outlineLevel="1" x14ac:dyDescent="0.2">
      <c r="E178" s="69" t="s">
        <v>145</v>
      </c>
      <c r="F178" s="37" t="s">
        <v>97</v>
      </c>
      <c r="J178" s="85">
        <f>SUM(J176:J177)</f>
        <v>342.57534246575358</v>
      </c>
      <c r="K178" s="85">
        <f t="shared" ref="K178:N178" si="71">SUM(K176:K177)</f>
        <v>1195.1952054794524</v>
      </c>
      <c r="L178" s="85">
        <f t="shared" si="71"/>
        <v>74.794520547945197</v>
      </c>
      <c r="M178" s="85">
        <f t="shared" si="71"/>
        <v>187.54098360655738</v>
      </c>
      <c r="N178" s="85">
        <f t="shared" si="71"/>
        <v>410.95890410958901</v>
      </c>
    </row>
    <row r="179" spans="4:14" outlineLevel="1" x14ac:dyDescent="0.2">
      <c r="F179" s="37"/>
    </row>
    <row r="180" spans="4:14" ht="12.75" outlineLevel="1" thickBot="1" x14ac:dyDescent="0.25">
      <c r="E180" s="69" t="s">
        <v>146</v>
      </c>
      <c r="F180" s="37" t="s">
        <v>97</v>
      </c>
      <c r="J180" s="79">
        <f>J174-J178</f>
        <v>678.05999999999983</v>
      </c>
      <c r="K180" s="79">
        <f t="shared" ref="K180:N180" si="72">K174-K178</f>
        <v>1876.5992901960776</v>
      </c>
      <c r="L180" s="79">
        <f t="shared" si="72"/>
        <v>4313.2495906135273</v>
      </c>
      <c r="M180" s="79">
        <f t="shared" si="72"/>
        <v>7792.7689838521273</v>
      </c>
      <c r="N180" s="79">
        <f t="shared" si="72"/>
        <v>11757.077790226278</v>
      </c>
    </row>
    <row r="181" spans="4:14" ht="12.75" outlineLevel="1" thickTop="1" x14ac:dyDescent="0.2">
      <c r="F181" s="37"/>
    </row>
    <row r="182" spans="4:14" outlineLevel="1" x14ac:dyDescent="0.2">
      <c r="F182" s="37"/>
    </row>
    <row r="183" spans="4:14" ht="12.75" outlineLevel="1" thickBot="1" x14ac:dyDescent="0.25">
      <c r="E183" s="69" t="s">
        <v>147</v>
      </c>
      <c r="F183" s="37" t="s">
        <v>97</v>
      </c>
      <c r="J183" s="79">
        <f>SUM($J166:J166)</f>
        <v>678.06</v>
      </c>
      <c r="K183" s="79">
        <f>SUM($J166:K166)</f>
        <v>1876.5992901960788</v>
      </c>
      <c r="L183" s="79">
        <f>SUM($J166:L166)</f>
        <v>4313.2495906135282</v>
      </c>
      <c r="M183" s="79">
        <f>SUM($J166:M166)</f>
        <v>7792.7689838521273</v>
      </c>
      <c r="N183" s="79">
        <f>SUM($J166:N166)</f>
        <v>11757.077790226278</v>
      </c>
    </row>
    <row r="184" spans="4:14" ht="12.75" outlineLevel="1" thickTop="1" x14ac:dyDescent="0.2"/>
    <row r="185" spans="4:14" outlineLevel="1" x14ac:dyDescent="0.2"/>
    <row r="186" spans="4:14" outlineLevel="1" x14ac:dyDescent="0.2">
      <c r="D186" s="89" t="s">
        <v>148</v>
      </c>
    </row>
    <row r="187" spans="4:14" outlineLevel="1" x14ac:dyDescent="0.2">
      <c r="E187" s="63" t="s">
        <v>149</v>
      </c>
      <c r="F187" s="37" t="s">
        <v>150</v>
      </c>
      <c r="I187" s="91">
        <f>MIN(SUM(J187:N187),1)</f>
        <v>0</v>
      </c>
      <c r="J187" s="90">
        <f>IF(ISERROR(J180-J183),1,)</f>
        <v>0</v>
      </c>
      <c r="K187" s="90">
        <f t="shared" ref="K187:N187" si="73">IF(ISERROR(K180-K183),1,)</f>
        <v>0</v>
      </c>
      <c r="L187" s="90">
        <f t="shared" si="73"/>
        <v>0</v>
      </c>
      <c r="M187" s="90">
        <f t="shared" si="73"/>
        <v>0</v>
      </c>
      <c r="N187" s="90">
        <f t="shared" si="73"/>
        <v>0</v>
      </c>
    </row>
    <row r="188" spans="4:14" outlineLevel="1" x14ac:dyDescent="0.2">
      <c r="E188" s="63" t="s">
        <v>151</v>
      </c>
      <c r="F188" s="37" t="s">
        <v>150</v>
      </c>
      <c r="I188" s="91">
        <f t="shared" ref="I188:I189" si="74">MIN(SUM(J188:N188),1)</f>
        <v>0</v>
      </c>
      <c r="J188" s="90">
        <f>IF(J187&lt;&gt;0,,(ROUND(J180-J183,Rounding_Accuracy)&lt;&gt;0)*1)</f>
        <v>0</v>
      </c>
      <c r="K188" s="90">
        <f>IF(K187&lt;&gt;0,,(ROUND(K180-K183,Rounding_Accuracy)&lt;&gt;0)*1)</f>
        <v>0</v>
      </c>
      <c r="L188" s="90">
        <f>IF(L187&lt;&gt;0,,(ROUND(L180-L183,Rounding_Accuracy)&lt;&gt;0)*1)</f>
        <v>0</v>
      </c>
      <c r="M188" s="90">
        <f>IF(M187&lt;&gt;0,,(ROUND(M180-M183,Rounding_Accuracy)&lt;&gt;0)*1)</f>
        <v>0</v>
      </c>
      <c r="N188" s="90">
        <f>IF(N187&lt;&gt;0,,(ROUND(N180-N183,Rounding_Accuracy)&lt;&gt;0)*1)</f>
        <v>0</v>
      </c>
    </row>
    <row r="189" spans="4:14" outlineLevel="1" x14ac:dyDescent="0.2">
      <c r="E189" s="63" t="s">
        <v>152</v>
      </c>
      <c r="F189" s="37" t="s">
        <v>150</v>
      </c>
      <c r="I189" s="91">
        <f t="shared" si="74"/>
        <v>0</v>
      </c>
      <c r="J189" s="90">
        <f>IF(AND(J187=0,J188=0),(J180&lt;0)*1,)</f>
        <v>0</v>
      </c>
      <c r="K189" s="90">
        <f t="shared" ref="K189:N189" si="75">IF(AND(K187=0,K188=0),(K180&lt;0)*1,)</f>
        <v>0</v>
      </c>
      <c r="L189" s="90">
        <f t="shared" si="75"/>
        <v>0</v>
      </c>
      <c r="M189" s="90">
        <f t="shared" si="75"/>
        <v>0</v>
      </c>
      <c r="N189" s="90">
        <f t="shared" si="75"/>
        <v>0</v>
      </c>
    </row>
    <row r="190" spans="4:14" outlineLevel="1" x14ac:dyDescent="0.2">
      <c r="E190" s="63" t="s">
        <v>153</v>
      </c>
      <c r="F190" s="37" t="s">
        <v>150</v>
      </c>
      <c r="I190" s="92">
        <f>MIN(SUM(I187:I189),1)</f>
        <v>0</v>
      </c>
    </row>
    <row r="191" spans="4:14" outlineLevel="1" x14ac:dyDescent="0.2"/>
    <row r="192" spans="4:14" outlineLevel="1" x14ac:dyDescent="0.2"/>
    <row r="193" spans="3:14" ht="16.5" outlineLevel="1" x14ac:dyDescent="0.25">
      <c r="C193" s="4" t="s">
        <v>141</v>
      </c>
    </row>
    <row r="194" spans="3:14" outlineLevel="1" x14ac:dyDescent="0.2"/>
    <row r="195" spans="3:14" outlineLevel="1" x14ac:dyDescent="0.2">
      <c r="E195" s="63" t="str">
        <f>E70</f>
        <v>Cash Receipts</v>
      </c>
      <c r="F195" s="37" t="s">
        <v>97</v>
      </c>
      <c r="J195" s="40">
        <f>-J70</f>
        <v>1253.4246575342465</v>
      </c>
      <c r="K195" s="40">
        <f t="shared" ref="K195:N195" si="76">-K70</f>
        <v>2828.6301369863013</v>
      </c>
      <c r="L195" s="40">
        <f t="shared" si="76"/>
        <v>4535.9506849315076</v>
      </c>
      <c r="M195" s="40">
        <f t="shared" si="76"/>
        <v>6434.6332090725364</v>
      </c>
      <c r="N195" s="40">
        <f t="shared" si="76"/>
        <v>8578.2714758589736</v>
      </c>
    </row>
    <row r="196" spans="3:14" outlineLevel="1" x14ac:dyDescent="0.2">
      <c r="E196" s="63" t="str">
        <f>E100</f>
        <v>Cash Payments</v>
      </c>
      <c r="F196" s="37" t="s">
        <v>97</v>
      </c>
      <c r="J196" s="83">
        <f>J100</f>
        <v>-1464.8219178082193</v>
      </c>
      <c r="K196" s="83">
        <f t="shared" ref="K196:N196" si="77">K100</f>
        <v>-3509.8595890410961</v>
      </c>
      <c r="L196" s="83">
        <f t="shared" si="77"/>
        <v>-1137.7739726027396</v>
      </c>
      <c r="M196" s="83">
        <f t="shared" si="77"/>
        <v>-2175.2535369413877</v>
      </c>
      <c r="N196" s="83">
        <f t="shared" si="77"/>
        <v>-4776.5820794969686</v>
      </c>
    </row>
    <row r="197" spans="3:14" ht="12.75" outlineLevel="1" thickBot="1" x14ac:dyDescent="0.25">
      <c r="E197" s="69" t="s">
        <v>142</v>
      </c>
      <c r="F197" s="37" t="s">
        <v>97</v>
      </c>
      <c r="J197" s="79">
        <f>SUM(J195:J196)</f>
        <v>-211.39726027397273</v>
      </c>
      <c r="K197" s="79">
        <f t="shared" ref="K197:N197" si="78">SUM(K195:K196)</f>
        <v>-681.22945205479482</v>
      </c>
      <c r="L197" s="79">
        <f t="shared" si="78"/>
        <v>3398.1767123287682</v>
      </c>
      <c r="M197" s="79">
        <f t="shared" si="78"/>
        <v>4259.3796721311483</v>
      </c>
      <c r="N197" s="79">
        <f t="shared" si="78"/>
        <v>3801.689396362005</v>
      </c>
    </row>
    <row r="198" spans="3:14" ht="12.75" outlineLevel="1" thickTop="1" x14ac:dyDescent="0.2"/>
    <row r="199" spans="3:14" outlineLevel="1" x14ac:dyDescent="0.2"/>
  </sheetData>
  <mergeCells count="2">
    <mergeCell ref="I1:J1"/>
    <mergeCell ref="A3:E3"/>
  </mergeCells>
  <conditionalFormatting sqref="F4">
    <cfRule type="cellIs" dxfId="9" priority="5" operator="notEqual">
      <formula>0</formula>
    </cfRule>
  </conditionalFormatting>
  <conditionalFormatting sqref="J187:N189">
    <cfRule type="cellIs" dxfId="8" priority="4" operator="notEqual">
      <formula>0</formula>
    </cfRule>
  </conditionalFormatting>
  <conditionalFormatting sqref="I187:I190">
    <cfRule type="cellIs" dxfId="7" priority="3" operator="notEqual">
      <formula>0</formula>
    </cfRule>
  </conditionalFormatting>
  <conditionalFormatting sqref="J155:N155">
    <cfRule type="cellIs" dxfId="6" priority="2" operator="notEqual">
      <formula>0</formula>
    </cfRule>
  </conditionalFormatting>
  <conditionalFormatting sqref="I155">
    <cfRule type="cellIs" dxfId="5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Error Checks</v>
      </c>
      <c r="I1" s="96"/>
      <c r="J1" s="96"/>
    </row>
    <row r="2" spans="1:11" ht="18" x14ac:dyDescent="0.25">
      <c r="A2" s="51" t="str">
        <f ca="1">Model_Name</f>
        <v>Chapter 4 - SP Example Generic Inventory Model.xlsx</v>
      </c>
    </row>
    <row r="3" spans="1:11" x14ac:dyDescent="0.2">
      <c r="A3" s="96" t="s">
        <v>1</v>
      </c>
      <c r="B3" s="96"/>
      <c r="C3" s="96"/>
      <c r="D3" s="96"/>
      <c r="E3" s="96"/>
    </row>
    <row r="4" spans="1:11" ht="14.25" x14ac:dyDescent="0.2">
      <c r="B4" t="s">
        <v>2</v>
      </c>
      <c r="F4" s="1">
        <f>Overall_Error_Check</f>
        <v>0</v>
      </c>
    </row>
    <row r="6" spans="1:11" ht="16.5" thickBot="1" x14ac:dyDescent="0.3">
      <c r="B6" s="52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outlineLevel="1" x14ac:dyDescent="0.2">
      <c r="E12" t="s">
        <v>154</v>
      </c>
      <c r="I12" s="90">
        <f>HL_Purchases</f>
        <v>0</v>
      </c>
    </row>
    <row r="13" spans="1:11" outlineLevel="1" x14ac:dyDescent="0.2">
      <c r="E13" t="s">
        <v>155</v>
      </c>
      <c r="I13" s="90">
        <f>HL_Balance</f>
        <v>0</v>
      </c>
    </row>
    <row r="14" spans="1:11" outlineLevel="1" x14ac:dyDescent="0.2">
      <c r="I14" s="93"/>
    </row>
    <row r="15" spans="1:11" outlineLevel="1" x14ac:dyDescent="0.2">
      <c r="I15" s="93"/>
    </row>
    <row r="16" spans="1:11" outlineLevel="1" x14ac:dyDescent="0.2">
      <c r="I16" s="93"/>
    </row>
    <row r="17" spans="5:9" ht="15" outlineLevel="1" x14ac:dyDescent="0.25">
      <c r="E17" s="5" t="str">
        <f>C8</f>
        <v>Summary of Errors</v>
      </c>
      <c r="I17" s="92">
        <f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4" priority="3" operator="notEqual">
      <formula>0</formula>
    </cfRule>
  </conditionalFormatting>
  <conditionalFormatting sqref="I12:I13">
    <cfRule type="cellIs" dxfId="3" priority="2" operator="notEqual">
      <formula>0</formula>
    </cfRule>
  </conditionalFormatting>
  <conditionalFormatting sqref="I12:I13">
    <cfRule type="cellIs" dxfId="2" priority="1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  <hyperlink ref="I12" location="HL_Purchases" display="HL_Purchases" xr:uid="{00000000-0004-0000-0600-000003000000}"/>
    <hyperlink ref="I13" location="HL_Balance" display="HL_Balance" xr:uid="{00000000-0004-0000-0600-000004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customWidth="1"/>
    <col min="6" max="6" width="11.140625" customWidth="1"/>
    <col min="7" max="7" width="27" customWidth="1"/>
    <col min="8" max="8" width="21.5703125" customWidth="1"/>
    <col min="9" max="9" width="24.42578125" customWidth="1"/>
    <col min="10" max="10" width="30.28515625" customWidth="1"/>
    <col min="11" max="11" width="26.7109375" style="2" customWidth="1"/>
  </cols>
  <sheetData>
    <row r="1" spans="1:12" s="2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Change Log</v>
      </c>
      <c r="I1" s="96"/>
      <c r="J1" s="96"/>
      <c r="K1" s="49"/>
    </row>
    <row r="2" spans="1:12" s="2" customFormat="1" ht="18" x14ac:dyDescent="0.25">
      <c r="A2" s="51" t="str">
        <f ca="1">Model_Name</f>
        <v>Chapter 4 - SP Example Generic Inventory Model.xlsx</v>
      </c>
    </row>
    <row r="3" spans="1:12" s="2" customFormat="1" x14ac:dyDescent="0.2">
      <c r="A3" s="96" t="s">
        <v>1</v>
      </c>
      <c r="B3" s="96"/>
      <c r="C3" s="96"/>
      <c r="D3" s="96"/>
      <c r="E3" s="96"/>
    </row>
    <row r="4" spans="1:12" s="2" customFormat="1" ht="14.25" x14ac:dyDescent="0.2">
      <c r="B4" s="2" t="s">
        <v>2</v>
      </c>
      <c r="F4" s="1">
        <f>Overall_Error_Check</f>
        <v>0</v>
      </c>
    </row>
    <row r="5" spans="1:12" s="2" customFormat="1" x14ac:dyDescent="0.2"/>
    <row r="6" spans="1:12" s="2" customFormat="1" ht="16.5" thickBot="1" x14ac:dyDescent="0.3">
      <c r="B6" s="52">
        <f>MAX($B$5:$B5)+1</f>
        <v>1</v>
      </c>
      <c r="C6" s="3" t="str">
        <f ca="1">A1</f>
        <v>Change Log</v>
      </c>
      <c r="D6" s="3"/>
      <c r="E6" s="3"/>
      <c r="F6" s="3"/>
      <c r="G6" s="3"/>
      <c r="H6" s="3"/>
      <c r="I6" s="3"/>
      <c r="J6" s="3"/>
      <c r="K6" s="3"/>
      <c r="L6" s="3"/>
    </row>
    <row r="7" spans="1:12" s="2" customFormat="1" ht="12.75" outlineLevel="1" thickTop="1" x14ac:dyDescent="0.2"/>
    <row r="8" spans="1:12" s="2" customFormat="1" ht="16.5" outlineLevel="1" x14ac:dyDescent="0.25">
      <c r="C8" s="4" t="s">
        <v>87</v>
      </c>
    </row>
    <row r="10" spans="1:12" x14ac:dyDescent="0.2">
      <c r="F10" s="14" t="s">
        <v>62</v>
      </c>
      <c r="G10" s="14" t="s">
        <v>83</v>
      </c>
      <c r="H10" s="14" t="s">
        <v>84</v>
      </c>
      <c r="I10" s="14" t="s">
        <v>85</v>
      </c>
      <c r="J10" s="14" t="s">
        <v>86</v>
      </c>
      <c r="K10" s="14" t="s">
        <v>88</v>
      </c>
    </row>
    <row r="11" spans="1:12" x14ac:dyDescent="0.2">
      <c r="F11" s="43"/>
      <c r="H11" s="2"/>
      <c r="I11" s="2"/>
      <c r="J11" s="60"/>
    </row>
    <row r="12" spans="1:12" x14ac:dyDescent="0.2">
      <c r="F12" s="43"/>
      <c r="J12" s="60"/>
    </row>
    <row r="13" spans="1:12" x14ac:dyDescent="0.2">
      <c r="F13" s="43"/>
      <c r="J13" s="60"/>
    </row>
    <row r="14" spans="1:12" x14ac:dyDescent="0.2">
      <c r="F14" s="43"/>
    </row>
    <row r="15" spans="1:12" x14ac:dyDescent="0.2">
      <c r="F15" s="43"/>
    </row>
    <row r="16" spans="1:12" x14ac:dyDescent="0.2">
      <c r="F16" s="43"/>
    </row>
    <row r="17" spans="6:6" x14ac:dyDescent="0.2">
      <c r="F17" s="43"/>
    </row>
    <row r="18" spans="6:6" x14ac:dyDescent="0.2">
      <c r="F18" s="43"/>
    </row>
    <row r="19" spans="6:6" x14ac:dyDescent="0.2">
      <c r="F19" s="43"/>
    </row>
    <row r="20" spans="6:6" x14ac:dyDescent="0.2">
      <c r="F20" s="43"/>
    </row>
    <row r="21" spans="6:6" x14ac:dyDescent="0.2">
      <c r="F21" s="43"/>
    </row>
    <row r="22" spans="6:6" x14ac:dyDescent="0.2">
      <c r="F22" s="43"/>
    </row>
  </sheetData>
  <mergeCells count="2">
    <mergeCell ref="I1:J1"/>
    <mergeCell ref="A3:E3"/>
  </mergeCells>
  <conditionalFormatting sqref="F4">
    <cfRule type="cellIs" dxfId="1" priority="1" operator="notEqual">
      <formula>0</formula>
    </cfRule>
  </conditionalFormatting>
  <hyperlinks>
    <hyperlink ref="F4" location="Overall_Error_Check" tooltip="Go to Overall Error Check" display="Overall_Error_Check" xr:uid="{00000000-0004-0000-0700-000000000000}"/>
    <hyperlink ref="A3:E3" location="HL_Navigator" tooltip="Go to Navigator (Table of Contents)" display="Navigator" xr:uid="{00000000-0004-0000-0700-000001000000}"/>
    <hyperlink ref="A3" location="HL_Navigator" display="Navigator" xr:uid="{00000000-0004-0000-0700-000002000000}"/>
  </hyperlink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5B55F635-9546-4D8C-AC3E-0ECF1A2A01B2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29</vt:i4>
      </vt:variant>
    </vt:vector>
  </HeadingPairs>
  <TitlesOfParts>
    <vt:vector size="37" baseType="lpstr">
      <vt:lpstr>Cover</vt:lpstr>
      <vt:lpstr>Navigator</vt:lpstr>
      <vt:lpstr>Style Guide</vt:lpstr>
      <vt:lpstr>Model Parameters</vt:lpstr>
      <vt:lpstr>Timing</vt:lpstr>
      <vt:lpstr>Inventory Example</vt:lpstr>
      <vt:lpstr>Error Checks</vt:lpstr>
      <vt:lpstr>Change Log</vt:lpstr>
      <vt:lpstr>Client_Name</vt:lpstr>
      <vt:lpstr>Days_in_Year</vt:lpstr>
      <vt:lpstr>Example_Reporting_Month</vt:lpstr>
      <vt:lpstr>HL_1</vt:lpstr>
      <vt:lpstr>HL_3</vt:lpstr>
      <vt:lpstr>HL_4</vt:lpstr>
      <vt:lpstr>'Inventory Example'!HL_5</vt:lpstr>
      <vt:lpstr>HL_5</vt:lpstr>
      <vt:lpstr>HL_6</vt:lpstr>
      <vt:lpstr>HL_7</vt:lpstr>
      <vt:lpstr>HL_8</vt:lpstr>
      <vt:lpstr>HL_Balance</vt:lpstr>
      <vt:lpstr>HL_Model_Parameters</vt:lpstr>
      <vt:lpstr>HL_Navigator</vt:lpstr>
      <vt:lpstr>HL_Purchases</vt:lpstr>
      <vt:lpstr>Model_Name</vt:lpstr>
      <vt:lpstr>Model_Start_Date</vt:lpstr>
      <vt:lpstr>Months_in_Half_Yr</vt:lpstr>
      <vt:lpstr>Months_in_Month</vt:lpstr>
      <vt:lpstr>Months_in_Quarter</vt:lpstr>
      <vt:lpstr>Months_in_Year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cp:lastPrinted>2016-09-07T07:06:27Z</cp:lastPrinted>
  <dcterms:created xsi:type="dcterms:W3CDTF">2012-10-20T20:39:47Z</dcterms:created>
  <dcterms:modified xsi:type="dcterms:W3CDTF">2020-05-26T06:41:27Z</dcterms:modified>
</cp:coreProperties>
</file>