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Finanical Modelling Book\Volume 02\Chapter Forecasting\"/>
    </mc:Choice>
  </mc:AlternateContent>
  <xr:revisionPtr revIDLastSave="0" documentId="13_ncr:1_{046117D7-EF85-437E-A6D0-CAEDA859053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Staffing Assumptions" sheetId="11" r:id="rId5"/>
    <sheet name="Staffing Summary" sheetId="10" r:id="rId6"/>
    <sheet name="Timing" sheetId="6" r:id="rId7"/>
    <sheet name="Error Checks" sheetId="5" r:id="rId8"/>
  </sheets>
  <definedNames>
    <definedName name="Client_Name">'Model Parameters'!$G$12</definedName>
    <definedName name="Days_in_Year">'Model Parameters'!$G$19</definedName>
    <definedName name="Example_Reporting_Month">Timing!$H$19</definedName>
    <definedName name="HL_1">Cover!$A$3</definedName>
    <definedName name="HL_3">'Style Guide'!$A$3</definedName>
    <definedName name="HL_4">'Model Parameters'!$A$3</definedName>
    <definedName name="HL_5">'Staffing Assumptions'!$A$3</definedName>
    <definedName name="HL_6">'Staffing Summary'!$A$3</definedName>
    <definedName name="HL_7">Timing!$A$3</definedName>
    <definedName name="HL_8">'Error Checks'!$A$3</definedName>
    <definedName name="HL_Model_Parameters">'Model Parameters'!$A$5</definedName>
    <definedName name="HL_Navigator">Navigator!$A$1</definedName>
    <definedName name="Hours_in_Working_Week">'Staffing Assumptions'!$I$12</definedName>
    <definedName name="LU_Yes_No">'Model Parameters'!$F$41:$F$42</definedName>
    <definedName name="Model_Name">'Model Parameters'!$G$11</definedName>
    <definedName name="Model_Start_Date">Timing!$H$15</definedName>
    <definedName name="Months_in_Half_Yr">'Model Parameters'!$G$22</definedName>
    <definedName name="Months_in_Month">'Model Parameters'!$G$20</definedName>
    <definedName name="Months_in_Quarter">'Model Parameters'!$G$21</definedName>
    <definedName name="Months_in_Year">'Model Parameters'!$G$23</definedName>
    <definedName name="No">'Model Parameters'!$F$42</definedName>
    <definedName name="Overall_Error_Check">'Error Checks'!$I$17</definedName>
    <definedName name="Periodicity">Timing!$H$17</definedName>
    <definedName name="Probation_Duration">'Staffing Assumptions'!$I$19</definedName>
    <definedName name="Quarters_in_Year">'Model Parameters'!$G$24</definedName>
    <definedName name="Reporting_Month_Factor">Timing!$H$21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  <definedName name="Yes">'Model Parameters'!$F$41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0" i="10" l="1"/>
  <c r="V100" i="10"/>
  <c r="W100" i="10"/>
  <c r="X100" i="10"/>
  <c r="Y100" i="10"/>
  <c r="Z100" i="10"/>
  <c r="AA100" i="10"/>
  <c r="AB100" i="10"/>
  <c r="E87" i="10"/>
  <c r="E69" i="10"/>
  <c r="E37" i="10"/>
  <c r="G55" i="10"/>
  <c r="F55" i="10"/>
  <c r="E55" i="10"/>
  <c r="H17" i="10"/>
  <c r="G17" i="10"/>
  <c r="F17" i="10"/>
  <c r="E19" i="10"/>
  <c r="E57" i="10" s="1"/>
  <c r="E20" i="10"/>
  <c r="E58" i="10" s="1"/>
  <c r="E21" i="10"/>
  <c r="E59" i="10" s="1"/>
  <c r="E22" i="10"/>
  <c r="E60" i="10" s="1"/>
  <c r="E23" i="10"/>
  <c r="E61" i="10" s="1"/>
  <c r="E24" i="10"/>
  <c r="E62" i="10" s="1"/>
  <c r="E25" i="10"/>
  <c r="E63" i="10" s="1"/>
  <c r="E26" i="10"/>
  <c r="E64" i="10" s="1"/>
  <c r="E18" i="10"/>
  <c r="E56" i="10" s="1"/>
  <c r="J30" i="11"/>
  <c r="F57" i="10" s="1"/>
  <c r="J31" i="11"/>
  <c r="F58" i="10" s="1"/>
  <c r="J32" i="11"/>
  <c r="F59" i="10" s="1"/>
  <c r="J33" i="11"/>
  <c r="F60" i="10" s="1"/>
  <c r="J34" i="11"/>
  <c r="F61" i="10" s="1"/>
  <c r="J35" i="11"/>
  <c r="F62" i="10" s="1"/>
  <c r="J36" i="11"/>
  <c r="F63" i="10" s="1"/>
  <c r="J37" i="11"/>
  <c r="F64" i="10" s="1"/>
  <c r="J38" i="11"/>
  <c r="J29" i="11"/>
  <c r="F56" i="10" s="1"/>
  <c r="K30" i="11"/>
  <c r="G57" i="10" s="1"/>
  <c r="K31" i="11"/>
  <c r="G58" i="10" s="1"/>
  <c r="K32" i="11"/>
  <c r="G59" i="10" s="1"/>
  <c r="K33" i="11"/>
  <c r="G60" i="10" s="1"/>
  <c r="K34" i="11"/>
  <c r="G61" i="10" s="1"/>
  <c r="K35" i="11"/>
  <c r="G62" i="10" s="1"/>
  <c r="K36" i="11"/>
  <c r="G63" i="10" s="1"/>
  <c r="K37" i="11"/>
  <c r="G64" i="10" s="1"/>
  <c r="K38" i="11"/>
  <c r="K29" i="11"/>
  <c r="G56" i="10" s="1"/>
  <c r="N30" i="11"/>
  <c r="N32" i="11"/>
  <c r="N33" i="11"/>
  <c r="N38" i="11"/>
  <c r="F40" i="2"/>
  <c r="D38" i="2"/>
  <c r="H30" i="11"/>
  <c r="I30" i="11" s="1"/>
  <c r="H19" i="10" s="1"/>
  <c r="H31" i="11"/>
  <c r="I31" i="11" s="1"/>
  <c r="H20" i="10" s="1"/>
  <c r="H32" i="11"/>
  <c r="I32" i="11" s="1"/>
  <c r="H21" i="10" s="1"/>
  <c r="H33" i="11"/>
  <c r="I33" i="11" s="1"/>
  <c r="H22" i="10" s="1"/>
  <c r="H34" i="11"/>
  <c r="I34" i="11" s="1"/>
  <c r="H23" i="10" s="1"/>
  <c r="H35" i="11"/>
  <c r="I35" i="11" s="1"/>
  <c r="H24" i="10" s="1"/>
  <c r="H36" i="11"/>
  <c r="I36" i="11" s="1"/>
  <c r="H25" i="10" s="1"/>
  <c r="H37" i="11"/>
  <c r="I37" i="11" s="1"/>
  <c r="H26" i="10" s="1"/>
  <c r="H38" i="11"/>
  <c r="I38" i="11" s="1"/>
  <c r="H29" i="11"/>
  <c r="I29" i="11" s="1"/>
  <c r="H18" i="10" s="1"/>
  <c r="F19" i="11"/>
  <c r="F12" i="11"/>
  <c r="H15" i="6"/>
  <c r="L29" i="11" s="1"/>
  <c r="F18" i="10" s="1"/>
  <c r="U76" i="10"/>
  <c r="U71" i="10"/>
  <c r="U78" i="10"/>
  <c r="U56" i="10"/>
  <c r="U88" i="10"/>
  <c r="U20" i="10"/>
  <c r="U59" i="10"/>
  <c r="U75" i="10"/>
  <c r="U18" i="10"/>
  <c r="U28" i="10"/>
  <c r="U61" i="10"/>
  <c r="U77" i="10"/>
  <c r="U72" i="10"/>
  <c r="U89" i="10"/>
  <c r="U60" i="10"/>
  <c r="U38" i="10"/>
  <c r="U25" i="10"/>
  <c r="U23" i="10"/>
  <c r="U95" i="10"/>
  <c r="U44" i="10"/>
  <c r="U43" i="10"/>
  <c r="U40" i="10"/>
  <c r="U64" i="10"/>
  <c r="Q40" i="11"/>
  <c r="U19" i="10"/>
  <c r="U94" i="10"/>
  <c r="U93" i="10"/>
  <c r="U46" i="10"/>
  <c r="U96" i="10"/>
  <c r="U70" i="10"/>
  <c r="U22" i="10"/>
  <c r="U42" i="10"/>
  <c r="U26" i="10"/>
  <c r="U57" i="10"/>
  <c r="U91" i="10"/>
  <c r="U73" i="10"/>
  <c r="U58" i="10"/>
  <c r="U74" i="10"/>
  <c r="U41" i="10"/>
  <c r="U92" i="10"/>
  <c r="U45" i="10"/>
  <c r="U24" i="10"/>
  <c r="U98" i="10"/>
  <c r="U39" i="10"/>
  <c r="U63" i="10"/>
  <c r="U21" i="10"/>
  <c r="U62" i="10"/>
  <c r="U90" i="10"/>
  <c r="E94" i="10" l="1"/>
  <c r="E93" i="10"/>
  <c r="E91" i="10"/>
  <c r="E90" i="10"/>
  <c r="E77" i="10"/>
  <c r="E73" i="10"/>
  <c r="E92" i="10"/>
  <c r="E89" i="10"/>
  <c r="E44" i="10"/>
  <c r="E78" i="10"/>
  <c r="E76" i="10"/>
  <c r="E75" i="10"/>
  <c r="U100" i="10"/>
  <c r="E72" i="10"/>
  <c r="E46" i="10"/>
  <c r="E71" i="10"/>
  <c r="E45" i="10"/>
  <c r="E88" i="10"/>
  <c r="E96" i="10"/>
  <c r="E70" i="10"/>
  <c r="E95" i="10"/>
  <c r="E74" i="10"/>
  <c r="E38" i="10"/>
  <c r="E43" i="10"/>
  <c r="E42" i="10"/>
  <c r="E41" i="10"/>
  <c r="E40" i="10"/>
  <c r="E39" i="10"/>
  <c r="N29" i="11"/>
  <c r="L33" i="11"/>
  <c r="F22" i="10" s="1"/>
  <c r="L38" i="11"/>
  <c r="L30" i="11"/>
  <c r="F19" i="10" s="1"/>
  <c r="L37" i="11"/>
  <c r="F26" i="10" s="1"/>
  <c r="L36" i="11"/>
  <c r="F25" i="10" s="1"/>
  <c r="L32" i="11"/>
  <c r="F21" i="10" s="1"/>
  <c r="L31" i="11"/>
  <c r="F20" i="10" s="1"/>
  <c r="L35" i="11"/>
  <c r="F24" i="10" s="1"/>
  <c r="L34" i="11"/>
  <c r="F23" i="10" s="1"/>
  <c r="B6" i="11"/>
  <c r="B22" i="11" s="1"/>
  <c r="A1" i="11"/>
  <c r="A1" i="10"/>
  <c r="C7" i="10"/>
  <c r="C8" i="10"/>
  <c r="C9" i="10"/>
  <c r="C6" i="10"/>
  <c r="B11" i="10"/>
  <c r="B31" i="10" l="1"/>
  <c r="O32" i="11"/>
  <c r="P32" i="11" s="1"/>
  <c r="N37" i="11"/>
  <c r="O37" i="11" s="1"/>
  <c r="P37" i="11" s="1"/>
  <c r="O30" i="11"/>
  <c r="P30" i="11" s="1"/>
  <c r="Q30" i="11" s="1"/>
  <c r="G19" i="10" s="1"/>
  <c r="N36" i="11"/>
  <c r="O36" i="11" s="1"/>
  <c r="P36" i="11" s="1"/>
  <c r="O38" i="11"/>
  <c r="O33" i="11"/>
  <c r="N31" i="11"/>
  <c r="O31" i="11" s="1"/>
  <c r="P31" i="11" s="1"/>
  <c r="O29" i="11"/>
  <c r="P29" i="11" s="1"/>
  <c r="N35" i="11"/>
  <c r="O35" i="11" s="1"/>
  <c r="P35" i="11" s="1"/>
  <c r="N34" i="11"/>
  <c r="O34" i="11" s="1"/>
  <c r="P34" i="11" s="1"/>
  <c r="B49" i="10" l="1"/>
  <c r="B81" i="10" s="1"/>
  <c r="Q31" i="11"/>
  <c r="G20" i="10" s="1"/>
  <c r="Q32" i="11"/>
  <c r="G21" i="10" s="1"/>
  <c r="Q36" i="11"/>
  <c r="G25" i="10" s="1"/>
  <c r="Q34" i="11"/>
  <c r="G23" i="10" s="1"/>
  <c r="Q37" i="11"/>
  <c r="G26" i="10" s="1"/>
  <c r="P33" i="11"/>
  <c r="Q33" i="11" s="1"/>
  <c r="G22" i="10" s="1"/>
  <c r="P38" i="11"/>
  <c r="Q38" i="11" s="1"/>
  <c r="Q35" i="11"/>
  <c r="G24" i="10" s="1"/>
  <c r="Q29" i="11"/>
  <c r="G18" i="10" s="1"/>
  <c r="J9" i="6"/>
  <c r="H21" i="6"/>
  <c r="I19" i="6"/>
  <c r="K9" i="6" l="1"/>
  <c r="J9" i="10"/>
  <c r="J6" i="6"/>
  <c r="L9" i="6" l="1"/>
  <c r="K9" i="10"/>
  <c r="J7" i="6"/>
  <c r="J7" i="10" s="1"/>
  <c r="J6" i="10"/>
  <c r="M9" i="6" l="1"/>
  <c r="L9" i="10"/>
  <c r="K6" i="6"/>
  <c r="J5" i="6"/>
  <c r="J5" i="10" s="1"/>
  <c r="M9" i="10" l="1"/>
  <c r="N9" i="6"/>
  <c r="K7" i="6"/>
  <c r="L6" i="6" s="1"/>
  <c r="K6" i="10"/>
  <c r="N9" i="10" l="1"/>
  <c r="O9" i="6"/>
  <c r="L7" i="6"/>
  <c r="L6" i="10"/>
  <c r="K5" i="6"/>
  <c r="K5" i="10" s="1"/>
  <c r="K7" i="10"/>
  <c r="O9" i="10" l="1"/>
  <c r="P9" i="6"/>
  <c r="M6" i="6"/>
  <c r="L7" i="10"/>
  <c r="L5" i="6"/>
  <c r="L5" i="10" s="1"/>
  <c r="B11" i="6"/>
  <c r="A1" i="6"/>
  <c r="P9" i="10" l="1"/>
  <c r="Q9" i="6"/>
  <c r="M7" i="6"/>
  <c r="M6" i="10"/>
  <c r="A1" i="5"/>
  <c r="Q9" i="10" l="1"/>
  <c r="R9" i="6"/>
  <c r="M7" i="10"/>
  <c r="M5" i="6"/>
  <c r="M5" i="10" s="1"/>
  <c r="N6" i="6"/>
  <c r="I37" i="4"/>
  <c r="R9" i="10" l="1"/>
  <c r="S9" i="6"/>
  <c r="S9" i="10" s="1"/>
  <c r="N7" i="6"/>
  <c r="O6" i="6" s="1"/>
  <c r="N6" i="10"/>
  <c r="A1" i="2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l="1"/>
  <c r="B34" i="2"/>
  <c r="O7" i="6"/>
  <c r="O7" i="10" s="1"/>
  <c r="O6" i="10"/>
  <c r="I4" i="11"/>
  <c r="G4" i="10"/>
  <c r="A2" i="10"/>
  <c r="A2" i="11"/>
  <c r="N5" i="6"/>
  <c r="N5" i="10" s="1"/>
  <c r="N7" i="10"/>
  <c r="F4" i="5"/>
  <c r="I4" i="2"/>
  <c r="G4" i="3"/>
  <c r="F4" i="6"/>
  <c r="A2" i="6"/>
  <c r="I4" i="4"/>
  <c r="A2" i="2"/>
  <c r="A2" i="5"/>
  <c r="B56" i="4"/>
  <c r="A2" i="4"/>
  <c r="A2" i="3"/>
  <c r="C6" i="1"/>
  <c r="J8" i="6"/>
  <c r="J8" i="10" s="1"/>
  <c r="K8" i="6"/>
  <c r="K8" i="10" s="1"/>
  <c r="L8" i="6"/>
  <c r="L8" i="10" s="1"/>
  <c r="M8" i="6"/>
  <c r="M8" i="10" s="1"/>
  <c r="N8" i="6"/>
  <c r="N8" i="10" s="1"/>
  <c r="K24" i="10" l="1"/>
  <c r="K26" i="10"/>
  <c r="K22" i="10"/>
  <c r="K25" i="10"/>
  <c r="K18" i="10"/>
  <c r="K23" i="10"/>
  <c r="K21" i="10"/>
  <c r="K20" i="10"/>
  <c r="K19" i="10"/>
  <c r="N21" i="10"/>
  <c r="N25" i="10"/>
  <c r="N22" i="10"/>
  <c r="N24" i="10"/>
  <c r="N18" i="10"/>
  <c r="N19" i="10"/>
  <c r="N20" i="10"/>
  <c r="N23" i="10"/>
  <c r="N26" i="10"/>
  <c r="M20" i="10"/>
  <c r="M21" i="10"/>
  <c r="M23" i="10"/>
  <c r="M22" i="10"/>
  <c r="M24" i="10"/>
  <c r="M25" i="10"/>
  <c r="M19" i="10"/>
  <c r="M26" i="10"/>
  <c r="M18" i="10"/>
  <c r="L26" i="10"/>
  <c r="L23" i="10"/>
  <c r="L24" i="10"/>
  <c r="L21" i="10"/>
  <c r="L25" i="10"/>
  <c r="L20" i="10"/>
  <c r="L22" i="10"/>
  <c r="L18" i="10"/>
  <c r="L19" i="10"/>
  <c r="J18" i="10"/>
  <c r="J23" i="10"/>
  <c r="J26" i="10"/>
  <c r="J24" i="10"/>
  <c r="J19" i="10"/>
  <c r="J21" i="10"/>
  <c r="J20" i="10"/>
  <c r="J25" i="10"/>
  <c r="J22" i="10"/>
  <c r="P6" i="6"/>
  <c r="P7" i="6" s="1"/>
  <c r="P7" i="10" s="1"/>
  <c r="O8" i="6"/>
  <c r="O8" i="10" s="1"/>
  <c r="O5" i="6"/>
  <c r="O5" i="10" s="1"/>
  <c r="J40" i="10" l="1"/>
  <c r="K40" i="10" s="1"/>
  <c r="J42" i="10"/>
  <c r="K42" i="10" s="1"/>
  <c r="J45" i="10"/>
  <c r="J41" i="10"/>
  <c r="K41" i="10" s="1"/>
  <c r="J39" i="10"/>
  <c r="J46" i="10"/>
  <c r="J44" i="10"/>
  <c r="J43" i="10"/>
  <c r="K43" i="10" s="1"/>
  <c r="L43" i="10" s="1"/>
  <c r="J38" i="10"/>
  <c r="K38" i="10" s="1"/>
  <c r="L38" i="10" s="1"/>
  <c r="L28" i="10"/>
  <c r="K28" i="10"/>
  <c r="M28" i="10"/>
  <c r="N28" i="10"/>
  <c r="J28" i="10"/>
  <c r="O19" i="10"/>
  <c r="O23" i="10"/>
  <c r="O25" i="10"/>
  <c r="O26" i="10"/>
  <c r="O21" i="10"/>
  <c r="O24" i="10"/>
  <c r="O22" i="10"/>
  <c r="O20" i="10"/>
  <c r="O18" i="10"/>
  <c r="P6" i="10"/>
  <c r="Q6" i="6"/>
  <c r="Q7" i="6" s="1"/>
  <c r="Q7" i="10" s="1"/>
  <c r="P8" i="6"/>
  <c r="P8" i="10" s="1"/>
  <c r="P5" i="6"/>
  <c r="P5" i="10" s="1"/>
  <c r="L40" i="10" l="1"/>
  <c r="M38" i="10"/>
  <c r="N38" i="10" s="1"/>
  <c r="O38" i="10" s="1"/>
  <c r="L41" i="10"/>
  <c r="J59" i="10"/>
  <c r="L42" i="10"/>
  <c r="J61" i="10"/>
  <c r="M43" i="10"/>
  <c r="K39" i="10"/>
  <c r="J57" i="10"/>
  <c r="J71" i="10" s="1"/>
  <c r="J89" i="10" s="1"/>
  <c r="K45" i="10"/>
  <c r="J63" i="10"/>
  <c r="J77" i="10" s="1"/>
  <c r="J95" i="10" s="1"/>
  <c r="J60" i="10"/>
  <c r="J74" i="10" s="1"/>
  <c r="J92" i="10" s="1"/>
  <c r="J58" i="10"/>
  <c r="J72" i="10" s="1"/>
  <c r="J90" i="10" s="1"/>
  <c r="K44" i="10"/>
  <c r="J62" i="10"/>
  <c r="J76" i="10" s="1"/>
  <c r="J94" i="10" s="1"/>
  <c r="K46" i="10"/>
  <c r="J64" i="10"/>
  <c r="J78" i="10" s="1"/>
  <c r="J96" i="10" s="1"/>
  <c r="J56" i="10"/>
  <c r="J70" i="10" s="1"/>
  <c r="J88" i="10" s="1"/>
  <c r="O28" i="10"/>
  <c r="P22" i="10"/>
  <c r="P24" i="10"/>
  <c r="P25" i="10"/>
  <c r="P18" i="10"/>
  <c r="P20" i="10"/>
  <c r="P26" i="10"/>
  <c r="P19" i="10"/>
  <c r="P23" i="10"/>
  <c r="P21" i="10"/>
  <c r="Q6" i="10"/>
  <c r="R6" i="6"/>
  <c r="R7" i="6" s="1"/>
  <c r="R7" i="10" s="1"/>
  <c r="Q8" i="6"/>
  <c r="Q8" i="10" s="1"/>
  <c r="Q5" i="6"/>
  <c r="Q5" i="10" s="1"/>
  <c r="K61" i="10" l="1"/>
  <c r="J75" i="10"/>
  <c r="J93" i="10" s="1"/>
  <c r="K59" i="10"/>
  <c r="K73" i="10" s="1"/>
  <c r="K91" i="10" s="1"/>
  <c r="J73" i="10"/>
  <c r="J91" i="10" s="1"/>
  <c r="K56" i="10"/>
  <c r="K70" i="10" s="1"/>
  <c r="K88" i="10" s="1"/>
  <c r="K58" i="10"/>
  <c r="K72" i="10" s="1"/>
  <c r="K90" i="10" s="1"/>
  <c r="K60" i="10"/>
  <c r="K74" i="10" s="1"/>
  <c r="K92" i="10" s="1"/>
  <c r="K57" i="10"/>
  <c r="K71" i="10" s="1"/>
  <c r="K89" i="10" s="1"/>
  <c r="K64" i="10"/>
  <c r="K78" i="10" s="1"/>
  <c r="K96" i="10" s="1"/>
  <c r="K63" i="10"/>
  <c r="K77" i="10" s="1"/>
  <c r="K95" i="10" s="1"/>
  <c r="M42" i="10"/>
  <c r="L46" i="10"/>
  <c r="N43" i="10"/>
  <c r="O43" i="10" s="1"/>
  <c r="P43" i="10" s="1"/>
  <c r="L44" i="10"/>
  <c r="K62" i="10"/>
  <c r="K76" i="10" s="1"/>
  <c r="K94" i="10" s="1"/>
  <c r="M41" i="10"/>
  <c r="M40" i="10"/>
  <c r="L45" i="10"/>
  <c r="L39" i="10"/>
  <c r="P38" i="10"/>
  <c r="P28" i="10"/>
  <c r="Q22" i="10"/>
  <c r="Q26" i="10"/>
  <c r="Q18" i="10"/>
  <c r="Q23" i="10"/>
  <c r="Q25" i="10"/>
  <c r="Q19" i="10"/>
  <c r="Q24" i="10"/>
  <c r="Q21" i="10"/>
  <c r="Q20" i="10"/>
  <c r="R6" i="10"/>
  <c r="S6" i="6"/>
  <c r="R8" i="6"/>
  <c r="R8" i="10" s="1"/>
  <c r="R5" i="6"/>
  <c r="R5" i="10" s="1"/>
  <c r="J98" i="10" l="1"/>
  <c r="J100" i="10" s="1"/>
  <c r="L59" i="10"/>
  <c r="L73" i="10" s="1"/>
  <c r="L91" i="10" s="1"/>
  <c r="L61" i="10"/>
  <c r="K75" i="10"/>
  <c r="K93" i="10" s="1"/>
  <c r="K98" i="10" s="1"/>
  <c r="K100" i="10" s="1"/>
  <c r="L57" i="10"/>
  <c r="L71" i="10" s="1"/>
  <c r="L89" i="10" s="1"/>
  <c r="L64" i="10"/>
  <c r="L78" i="10" s="1"/>
  <c r="L96" i="10" s="1"/>
  <c r="L63" i="10"/>
  <c r="L77" i="10" s="1"/>
  <c r="L95" i="10" s="1"/>
  <c r="L60" i="10"/>
  <c r="L58" i="10"/>
  <c r="L56" i="10"/>
  <c r="L70" i="10" s="1"/>
  <c r="L88" i="10" s="1"/>
  <c r="M44" i="10"/>
  <c r="N40" i="10"/>
  <c r="M46" i="10"/>
  <c r="M39" i="10"/>
  <c r="N42" i="10"/>
  <c r="L62" i="10"/>
  <c r="L76" i="10" s="1"/>
  <c r="L94" i="10" s="1"/>
  <c r="M45" i="10"/>
  <c r="N41" i="10"/>
  <c r="Q43" i="10"/>
  <c r="Q38" i="10"/>
  <c r="Q28" i="10"/>
  <c r="R24" i="10"/>
  <c r="R26" i="10"/>
  <c r="R18" i="10"/>
  <c r="R21" i="10"/>
  <c r="R19" i="10"/>
  <c r="R20" i="10"/>
  <c r="R22" i="10"/>
  <c r="R25" i="10"/>
  <c r="R23" i="10"/>
  <c r="S7" i="6"/>
  <c r="S6" i="10"/>
  <c r="M59" i="10" l="1"/>
  <c r="M73" i="10" s="1"/>
  <c r="M91" i="10" s="1"/>
  <c r="M57" i="10"/>
  <c r="M71" i="10" s="1"/>
  <c r="M89" i="10" s="1"/>
  <c r="M58" i="10"/>
  <c r="M72" i="10" s="1"/>
  <c r="M90" i="10" s="1"/>
  <c r="L72" i="10"/>
  <c r="L90" i="10" s="1"/>
  <c r="M60" i="10"/>
  <c r="M74" i="10" s="1"/>
  <c r="M92" i="10" s="1"/>
  <c r="L74" i="10"/>
  <c r="L92" i="10" s="1"/>
  <c r="M64" i="10"/>
  <c r="M78" i="10" s="1"/>
  <c r="M96" i="10" s="1"/>
  <c r="L75" i="10"/>
  <c r="L93" i="10" s="1"/>
  <c r="M61" i="10"/>
  <c r="M56" i="10"/>
  <c r="M70" i="10" s="1"/>
  <c r="M88" i="10" s="1"/>
  <c r="M62" i="10"/>
  <c r="M76" i="10" s="1"/>
  <c r="M94" i="10" s="1"/>
  <c r="O42" i="10"/>
  <c r="O41" i="10"/>
  <c r="N46" i="10"/>
  <c r="O40" i="10"/>
  <c r="N45" i="10"/>
  <c r="N39" i="10"/>
  <c r="N44" i="10"/>
  <c r="M63" i="10"/>
  <c r="M77" i="10" s="1"/>
  <c r="M95" i="10" s="1"/>
  <c r="R43" i="10"/>
  <c r="R38" i="10"/>
  <c r="R28" i="10"/>
  <c r="S7" i="10"/>
  <c r="S5" i="6"/>
  <c r="S5" i="10" s="1"/>
  <c r="S8" i="6"/>
  <c r="S8" i="10" s="1"/>
  <c r="N57" i="10" l="1"/>
  <c r="N71" i="10" s="1"/>
  <c r="N89" i="10" s="1"/>
  <c r="L98" i="10"/>
  <c r="L100" i="10" s="1"/>
  <c r="N59" i="10"/>
  <c r="N73" i="10" s="1"/>
  <c r="N91" i="10" s="1"/>
  <c r="N60" i="10"/>
  <c r="N74" i="10" s="1"/>
  <c r="N92" i="10" s="1"/>
  <c r="N58" i="10"/>
  <c r="N72" i="10" s="1"/>
  <c r="N90" i="10" s="1"/>
  <c r="M75" i="10"/>
  <c r="M93" i="10" s="1"/>
  <c r="M98" i="10" s="1"/>
  <c r="M100" i="10" s="1"/>
  <c r="N61" i="10"/>
  <c r="N64" i="10"/>
  <c r="N78" i="10" s="1"/>
  <c r="N96" i="10" s="1"/>
  <c r="N56" i="10"/>
  <c r="N70" i="10" s="1"/>
  <c r="N88" i="10" s="1"/>
  <c r="N62" i="10"/>
  <c r="N76" i="10" s="1"/>
  <c r="N94" i="10" s="1"/>
  <c r="O44" i="10"/>
  <c r="P44" i="10" s="1"/>
  <c r="Q44" i="10" s="1"/>
  <c r="R44" i="10" s="1"/>
  <c r="P40" i="10"/>
  <c r="O45" i="10"/>
  <c r="O46" i="10"/>
  <c r="P46" i="10" s="1"/>
  <c r="P41" i="10"/>
  <c r="P42" i="10"/>
  <c r="N63" i="10"/>
  <c r="N77" i="10" s="1"/>
  <c r="N95" i="10" s="1"/>
  <c r="O39" i="10"/>
  <c r="S25" i="10"/>
  <c r="S18" i="10"/>
  <c r="S19" i="10"/>
  <c r="S24" i="10"/>
  <c r="S21" i="10"/>
  <c r="S20" i="10"/>
  <c r="S22" i="10"/>
  <c r="S26" i="10"/>
  <c r="S23" i="10"/>
  <c r="O59" i="10" l="1"/>
  <c r="O73" i="10" s="1"/>
  <c r="O91" i="10" s="1"/>
  <c r="O60" i="10"/>
  <c r="O74" i="10" s="1"/>
  <c r="O92" i="10" s="1"/>
  <c r="O58" i="10"/>
  <c r="O72" i="10" s="1"/>
  <c r="O90" i="10" s="1"/>
  <c r="O61" i="10"/>
  <c r="N75" i="10"/>
  <c r="N93" i="10" s="1"/>
  <c r="N98" i="10" s="1"/>
  <c r="N100" i="10" s="1"/>
  <c r="O62" i="10"/>
  <c r="O56" i="10"/>
  <c r="Q46" i="10"/>
  <c r="R46" i="10" s="1"/>
  <c r="S46" i="10" s="1"/>
  <c r="Q41" i="10"/>
  <c r="O64" i="10"/>
  <c r="P45" i="10"/>
  <c r="Q42" i="10"/>
  <c r="O63" i="10"/>
  <c r="O77" i="10" s="1"/>
  <c r="O95" i="10" s="1"/>
  <c r="P39" i="10"/>
  <c r="O57" i="10"/>
  <c r="O71" i="10" s="1"/>
  <c r="O89" i="10" s="1"/>
  <c r="Q40" i="10"/>
  <c r="S43" i="10"/>
  <c r="S38" i="10"/>
  <c r="S44" i="10"/>
  <c r="S28" i="10"/>
  <c r="P59" i="10" l="1"/>
  <c r="P73" i="10" s="1"/>
  <c r="P91" i="10" s="1"/>
  <c r="P60" i="10"/>
  <c r="P74" i="10" s="1"/>
  <c r="P92" i="10" s="1"/>
  <c r="P58" i="10"/>
  <c r="P72" i="10" s="1"/>
  <c r="P90" i="10" s="1"/>
  <c r="P64" i="10"/>
  <c r="P78" i="10" s="1"/>
  <c r="P96" i="10" s="1"/>
  <c r="O78" i="10"/>
  <c r="O96" i="10" s="1"/>
  <c r="P56" i="10"/>
  <c r="O70" i="10"/>
  <c r="O88" i="10" s="1"/>
  <c r="P62" i="10"/>
  <c r="O76" i="10"/>
  <c r="O94" i="10" s="1"/>
  <c r="P61" i="10"/>
  <c r="O75" i="10"/>
  <c r="O93" i="10" s="1"/>
  <c r="P57" i="10"/>
  <c r="P71" i="10" s="1"/>
  <c r="P89" i="10" s="1"/>
  <c r="Q45" i="10"/>
  <c r="P63" i="10"/>
  <c r="P77" i="10" s="1"/>
  <c r="P95" i="10" s="1"/>
  <c r="R40" i="10"/>
  <c r="Q39" i="10"/>
  <c r="R41" i="10"/>
  <c r="R42" i="10"/>
  <c r="Q59" i="10" l="1"/>
  <c r="Q73" i="10" s="1"/>
  <c r="Q91" i="10" s="1"/>
  <c r="Q60" i="10"/>
  <c r="Q74" i="10" s="1"/>
  <c r="Q92" i="10" s="1"/>
  <c r="O98" i="10"/>
  <c r="O100" i="10" s="1"/>
  <c r="Q64" i="10"/>
  <c r="Q78" i="10" s="1"/>
  <c r="Q96" i="10" s="1"/>
  <c r="Q58" i="10"/>
  <c r="Q72" i="10" s="1"/>
  <c r="Q90" i="10" s="1"/>
  <c r="Q62" i="10"/>
  <c r="P76" i="10"/>
  <c r="P94" i="10" s="1"/>
  <c r="Q56" i="10"/>
  <c r="P70" i="10"/>
  <c r="P88" i="10" s="1"/>
  <c r="P75" i="10"/>
  <c r="P93" i="10" s="1"/>
  <c r="Q61" i="10"/>
  <c r="S40" i="10"/>
  <c r="R39" i="10"/>
  <c r="Q57" i="10"/>
  <c r="Q71" i="10" s="1"/>
  <c r="Q89" i="10" s="1"/>
  <c r="S41" i="10"/>
  <c r="R45" i="10"/>
  <c r="S42" i="10"/>
  <c r="Q63" i="10"/>
  <c r="Q77" i="10" s="1"/>
  <c r="Q95" i="10" s="1"/>
  <c r="R59" i="10" l="1"/>
  <c r="R73" i="10" s="1"/>
  <c r="R91" i="10" s="1"/>
  <c r="R60" i="10"/>
  <c r="R74" i="10" s="1"/>
  <c r="R92" i="10" s="1"/>
  <c r="P98" i="10"/>
  <c r="P100" i="10" s="1"/>
  <c r="R64" i="10"/>
  <c r="R78" i="10" s="1"/>
  <c r="R96" i="10" s="1"/>
  <c r="R58" i="10"/>
  <c r="R72" i="10" s="1"/>
  <c r="R90" i="10" s="1"/>
  <c r="Q75" i="10"/>
  <c r="Q93" i="10" s="1"/>
  <c r="R61" i="10"/>
  <c r="R56" i="10"/>
  <c r="Q70" i="10"/>
  <c r="Q88" i="10" s="1"/>
  <c r="R62" i="10"/>
  <c r="Q76" i="10"/>
  <c r="Q94" i="10" s="1"/>
  <c r="S45" i="10"/>
  <c r="R63" i="10"/>
  <c r="R77" i="10" s="1"/>
  <c r="R95" i="10" s="1"/>
  <c r="S39" i="10"/>
  <c r="R57" i="10"/>
  <c r="R71" i="10" s="1"/>
  <c r="R89" i="10" s="1"/>
  <c r="S59" i="10" l="1"/>
  <c r="S73" i="10" s="1"/>
  <c r="S91" i="10" s="1"/>
  <c r="S64" i="10"/>
  <c r="S78" i="10" s="1"/>
  <c r="S96" i="10" s="1"/>
  <c r="S60" i="10"/>
  <c r="S74" i="10" s="1"/>
  <c r="S92" i="10" s="1"/>
  <c r="Q98" i="10"/>
  <c r="Q100" i="10" s="1"/>
  <c r="S58" i="10"/>
  <c r="S72" i="10" s="1"/>
  <c r="S90" i="10" s="1"/>
  <c r="S57" i="10"/>
  <c r="S71" i="10" s="1"/>
  <c r="S89" i="10" s="1"/>
  <c r="R70" i="10"/>
  <c r="R88" i="10" s="1"/>
  <c r="S56" i="10"/>
  <c r="S70" i="10" s="1"/>
  <c r="S88" i="10" s="1"/>
  <c r="R75" i="10"/>
  <c r="R93" i="10" s="1"/>
  <c r="S61" i="10"/>
  <c r="S75" i="10" s="1"/>
  <c r="S93" i="10" s="1"/>
  <c r="R76" i="10"/>
  <c r="R94" i="10" s="1"/>
  <c r="S62" i="10"/>
  <c r="S76" i="10" s="1"/>
  <c r="S94" i="10" s="1"/>
  <c r="S63" i="10"/>
  <c r="S77" i="10" s="1"/>
  <c r="S95" i="10" s="1"/>
  <c r="S98" i="10" l="1"/>
  <c r="S100" i="10" s="1"/>
  <c r="R98" i="10"/>
  <c r="R100" i="10" s="1"/>
</calcChain>
</file>

<file path=xl/sharedStrings.xml><?xml version="1.0" encoding="utf-8"?>
<sst xmlns="http://schemas.openxmlformats.org/spreadsheetml/2006/main" count="193" uniqueCount="147">
  <si>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</si>
  <si>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</si>
  <si>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</si>
  <si>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</si>
  <si>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</si>
  <si>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</si>
  <si>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</si>
  <si>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</si>
  <si>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</si>
  <si>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</si>
  <si>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</si>
  <si>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</si>
  <si>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</si>
  <si>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</si>
  <si>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</si>
  <si>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</si>
  <si>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</si>
  <si>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</si>
  <si>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</si>
  <si>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</si>
  <si>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</si>
  <si>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</si>
  <si>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</si>
  <si>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</si>
  <si>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</si>
  <si>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</si>
  <si>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</si>
  <si>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</si>
  <si>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</si>
  <si>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</si>
  <si>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</si>
  <si>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</si>
  <si>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</si>
  <si>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</si>
  <si>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</si>
  <si>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</si>
  <si>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</si>
  <si>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</si>
  <si>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</si>
  <si>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</si>
  <si>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</si>
  <si>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</si>
  <si>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</si>
  <si>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</si>
  <si>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</si>
  <si>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</si>
  <si>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</si>
  <si>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</si>
  <si>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</si>
  <si>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</si>
  <si>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</si>
  <si>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</si>
  <si>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</si>
  <si>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</si>
  <si>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</si>
  <si>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</si>
  <si>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</si>
  <si>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</si>
  <si>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</si>
  <si>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</si>
  <si>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</si>
  <si>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</si>
  <si>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</si>
  <si>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</si>
  <si>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</si>
  <si>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</si>
  <si>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</si>
  <si>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</si>
  <si>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</si>
  <si>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</si>
  <si>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Timing</t>
  </si>
  <si>
    <t>Start Date</t>
  </si>
  <si>
    <t>End Date</t>
  </si>
  <si>
    <t>Counter</t>
  </si>
  <si>
    <t>Number of Days</t>
  </si>
  <si>
    <t>Timing Assumptions</t>
  </si>
  <si>
    <t>Data (do not change once modelling has commenced)</t>
  </si>
  <si>
    <t>Model Start Date</t>
  </si>
  <si>
    <t>Number of Months in a Full Period</t>
  </si>
  <si>
    <t>Example Reporting Month</t>
  </si>
  <si>
    <t>Reporting Month Factor</t>
  </si>
  <si>
    <t>Months per Year</t>
  </si>
  <si>
    <t>Summary</t>
  </si>
  <si>
    <t>SumProduct Pty Limited</t>
  </si>
  <si>
    <t>Employee Details</t>
  </si>
  <si>
    <t>Data</t>
  </si>
  <si>
    <t>First Name</t>
  </si>
  <si>
    <t>Last Name</t>
  </si>
  <si>
    <t>Probation Date</t>
  </si>
  <si>
    <t>Extended Date</t>
  </si>
  <si>
    <t>Hours in Working Week</t>
  </si>
  <si>
    <t>Constant</t>
  </si>
  <si>
    <t>Hrs</t>
  </si>
  <si>
    <t>Hours_in_Working_Week</t>
  </si>
  <si>
    <t>Whitney</t>
  </si>
  <si>
    <t>Bay</t>
  </si>
  <si>
    <t>Lou</t>
  </si>
  <si>
    <t>Seat</t>
  </si>
  <si>
    <t>Jerry</t>
  </si>
  <si>
    <t>Kann</t>
  </si>
  <si>
    <t>Ray</t>
  </si>
  <si>
    <t>Mae</t>
  </si>
  <si>
    <t>June</t>
  </si>
  <si>
    <t>Bob</t>
  </si>
  <si>
    <t>Katt</t>
  </si>
  <si>
    <t>Wendy</t>
  </si>
  <si>
    <t>Boatcomesin</t>
  </si>
  <si>
    <t>Tu</t>
  </si>
  <si>
    <t>Marc</t>
  </si>
  <si>
    <t>Sally</t>
  </si>
  <si>
    <t>Army</t>
  </si>
  <si>
    <t>Brianna</t>
  </si>
  <si>
    <t>Cracker</t>
  </si>
  <si>
    <t>O'Lyte</t>
  </si>
  <si>
    <t>General Assumptions</t>
  </si>
  <si>
    <t>Probation Duration</t>
  </si>
  <si>
    <t>Days</t>
  </si>
  <si>
    <t>Probation_Duration</t>
  </si>
  <si>
    <t>Max Date</t>
  </si>
  <si>
    <t>Proportion of Period Staff are Available</t>
  </si>
  <si>
    <t>By Staff Member</t>
  </si>
  <si>
    <t>Probation?</t>
  </si>
  <si>
    <t>Yes No</t>
  </si>
  <si>
    <t>Lookup</t>
  </si>
  <si>
    <t>Yes</t>
  </si>
  <si>
    <t>No</t>
  </si>
  <si>
    <t>LU_Yes_No</t>
  </si>
  <si>
    <t xml:space="preserve"> </t>
  </si>
  <si>
    <t>Initial Salary (OTE)</t>
  </si>
  <si>
    <t>Annual Increase</t>
  </si>
  <si>
    <t>Name</t>
  </si>
  <si>
    <t>FTE Rate</t>
  </si>
  <si>
    <t>Weekly Hrs</t>
  </si>
  <si>
    <t>FTEs</t>
  </si>
  <si>
    <t>Year Analysis</t>
  </si>
  <si>
    <t>Year Counters (to Flag Salary Increases)</t>
  </si>
  <si>
    <t>OTE Annual Salary By Staff Member</t>
  </si>
  <si>
    <t>OTE Salary for Period By Staff Member</t>
  </si>
  <si>
    <t>OTE Salary Analysis</t>
  </si>
  <si>
    <t>Actual Salary Analysis</t>
  </si>
  <si>
    <t>Actual Periodic Salary By Staff Member</t>
  </si>
  <si>
    <t>Total</t>
  </si>
  <si>
    <t>Staffing Assumptions</t>
  </si>
  <si>
    <t>Staffing Summary</t>
  </si>
  <si>
    <t>Unused</t>
  </si>
  <si>
    <t>Example of how to pro-rate costs (e.g. salaries) across time periods.</t>
  </si>
  <si>
    <t>Average Salary per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</si>
</sst>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  <numFmt numFmtId="180" formatCode="0.000;;"/>
    <numFmt numFmtId="181" formatCode="\$* #,##0;;"/>
    <numFmt numFmtId="182" formatCode="#,##0;;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i/>
      <sz val="10"/>
      <color theme="0" tint="-0.499984740745262"/>
      <name val="Calibri"/>
      <family val="2"/>
      <scheme val="minor"/>
    </font>
    <font>
      <i/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0" borderId="0" applyNumberFormat="0" applyFill="0" applyBorder="0" applyProtection="0"/>
    <xf numFmtId="0" fontId="25" fillId="0" borderId="0" applyNumberFormat="0" applyFill="0" applyBorder="0">
      <alignment horizontal="left"/>
      <protection locked="0"/>
    </xf>
    <xf numFmtId="0" fontId="13" fillId="0" borderId="0" applyNumberFormat="0" applyFill="0" applyBorder="0" applyProtection="0"/>
    <xf numFmtId="0" fontId="14" fillId="3" borderId="1" applyNumberFormat="0" applyProtection="0"/>
    <xf numFmtId="0" fontId="15" fillId="0" borderId="0" applyNumberFormat="0" applyFill="0" applyAlignment="0" applyProtection="0"/>
    <xf numFmtId="0" fontId="16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3" fillId="4" borderId="4" applyNumberFormat="0" applyAlignment="0">
      <protection locked="0"/>
    </xf>
    <xf numFmtId="0" fontId="3" fillId="0" borderId="0" applyNumberFormat="0" applyFill="0" applyBorder="0"/>
    <xf numFmtId="179" fontId="21" fillId="0" borderId="0" applyFill="0" applyBorder="0" applyProtection="0">
      <alignment horizontal="center"/>
    </xf>
    <xf numFmtId="178" fontId="22" fillId="0" borderId="0" applyFill="0" applyBorder="0" applyProtection="0">
      <alignment horizontal="center"/>
    </xf>
    <xf numFmtId="167" fontId="7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6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30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31" fillId="0" borderId="0" applyNumberFormat="0" applyFill="0" applyBorder="0" applyAlignment="0" applyProtection="0"/>
    <xf numFmtId="169" fontId="6" fillId="0" borderId="0" applyFill="0" applyBorder="0">
      <alignment horizontal="right" vertical="center"/>
    </xf>
    <xf numFmtId="170" fontId="6" fillId="0" borderId="0" applyFill="0" applyBorder="0">
      <alignment horizontal="right" vertical="center"/>
    </xf>
    <xf numFmtId="171" fontId="27" fillId="7" borderId="4">
      <alignment horizontal="center"/>
    </xf>
    <xf numFmtId="41" fontId="5" fillId="8" borderId="5" applyFont="0" applyAlignment="0"/>
    <xf numFmtId="0" fontId="11" fillId="11" borderId="0" applyNumberFormat="0">
      <alignment horizontal="center"/>
    </xf>
    <xf numFmtId="0" fontId="28" fillId="0" borderId="0" applyNumberFormat="0" applyFill="0" applyBorder="0" applyProtection="0">
      <alignment horizontal="center"/>
    </xf>
    <xf numFmtId="0" fontId="29" fillId="9" borderId="9" applyNumberFormat="0" applyAlignment="0">
      <protection locked="0"/>
    </xf>
    <xf numFmtId="0" fontId="20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10" applyNumberFormat="0" applyFill="0" applyAlignment="0" applyProtection="0"/>
    <xf numFmtId="0" fontId="17" fillId="0" borderId="11" applyNumberFormat="0" applyFill="0" applyAlignment="0" applyProtection="0"/>
    <xf numFmtId="0" fontId="16" fillId="0" borderId="12" applyNumberFormat="0" applyFill="0" applyAlignment="0" applyProtection="0"/>
    <xf numFmtId="172" fontId="14" fillId="3" borderId="1"/>
  </cellStyleXfs>
  <cellXfs count="78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4" fillId="3" borderId="1" xfId="10"/>
    <xf numFmtId="0" fontId="15" fillId="0" borderId="0" xfId="11"/>
    <xf numFmtId="0" fontId="16" fillId="0" borderId="0" xfId="12"/>
    <xf numFmtId="0" fontId="26" fillId="0" borderId="3" xfId="13">
      <alignment horizontal="center"/>
    </xf>
    <xf numFmtId="166" fontId="26" fillId="0" borderId="3" xfId="13" applyNumberFormat="1">
      <alignment horizontal="center"/>
    </xf>
    <xf numFmtId="0" fontId="7" fillId="0" borderId="0" xfId="0" applyFont="1"/>
    <xf numFmtId="0" fontId="8" fillId="0" borderId="0" xfId="12" applyFont="1" applyAlignment="1">
      <alignment horizontal="left" vertical="center"/>
    </xf>
    <xf numFmtId="0" fontId="9" fillId="0" borderId="0" xfId="0" applyFont="1"/>
    <xf numFmtId="0" fontId="9" fillId="0" borderId="0" xfId="6" applyFont="1" applyAlignment="1">
      <alignment horizontal="left" vertical="center"/>
    </xf>
    <xf numFmtId="0" fontId="25" fillId="0" borderId="0" xfId="8">
      <alignment horizontal="left"/>
      <protection locked="0"/>
    </xf>
    <xf numFmtId="0" fontId="25" fillId="0" borderId="0" xfId="8" applyAlignment="1">
      <alignment horizontal="right"/>
      <protection locked="0"/>
    </xf>
    <xf numFmtId="0" fontId="11" fillId="11" borderId="0" xfId="32">
      <alignment horizontal="center"/>
    </xf>
    <xf numFmtId="0" fontId="12" fillId="0" borderId="0" xfId="7"/>
    <xf numFmtId="0" fontId="10" fillId="0" borderId="0" xfId="0" applyFont="1" applyAlignment="1">
      <alignment horizontal="left"/>
    </xf>
    <xf numFmtId="0" fontId="13" fillId="0" borderId="0" xfId="9"/>
    <xf numFmtId="0" fontId="0" fillId="0" borderId="0" xfId="0" applyAlignment="1">
      <alignment horizontal="left"/>
    </xf>
    <xf numFmtId="0" fontId="17" fillId="0" borderId="0" xfId="6"/>
    <xf numFmtId="0" fontId="30" fillId="0" borderId="0" xfId="24" applyBorder="1"/>
    <xf numFmtId="0" fontId="23" fillId="4" borderId="4" xfId="14">
      <protection locked="0"/>
    </xf>
    <xf numFmtId="0" fontId="10" fillId="0" borderId="0" xfId="0" applyFont="1"/>
    <xf numFmtId="0" fontId="26" fillId="0" borderId="3" xfId="13" applyAlignment="1"/>
    <xf numFmtId="167" fontId="7" fillId="5" borderId="4" xfId="18"/>
    <xf numFmtId="164" fontId="2" fillId="2" borderId="2" xfId="19">
      <alignment horizontal="center"/>
      <protection locked="0"/>
    </xf>
    <xf numFmtId="0" fontId="26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6"/>
    <xf numFmtId="0" fontId="31" fillId="0" borderId="0" xfId="27"/>
    <xf numFmtId="171" fontId="27" fillId="7" borderId="4" xfId="30">
      <alignment horizontal="center"/>
    </xf>
    <xf numFmtId="41" fontId="0" fillId="8" borderId="5" xfId="31" applyFont="1"/>
    <xf numFmtId="0" fontId="28" fillId="0" borderId="0" xfId="33">
      <alignment horizontal="center"/>
    </xf>
    <xf numFmtId="0" fontId="29" fillId="9" borderId="9" xfId="34">
      <protection locked="0"/>
    </xf>
    <xf numFmtId="41" fontId="0" fillId="0" borderId="0" xfId="2" applyFont="1"/>
    <xf numFmtId="168" fontId="0" fillId="0" borderId="0" xfId="25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79" fontId="21" fillId="0" borderId="0" xfId="16">
      <alignment horizontal="center"/>
    </xf>
    <xf numFmtId="178" fontId="22" fillId="0" borderId="0" xfId="17">
      <alignment horizontal="center"/>
    </xf>
    <xf numFmtId="0" fontId="3" fillId="0" borderId="0" xfId="15"/>
    <xf numFmtId="164" fontId="14" fillId="3" borderId="1" xfId="10" applyNumberFormat="1" applyProtection="1">
      <protection locked="0"/>
    </xf>
    <xf numFmtId="165" fontId="14" fillId="3" borderId="1" xfId="10" applyNumberFormat="1"/>
    <xf numFmtId="172" fontId="14" fillId="3" borderId="1" xfId="40"/>
    <xf numFmtId="41" fontId="23" fillId="4" borderId="4" xfId="14" applyNumberFormat="1">
      <protection locked="0"/>
    </xf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1" fillId="0" borderId="0" xfId="16" applyNumberFormat="1">
      <alignment horizontal="center"/>
    </xf>
    <xf numFmtId="177" fontId="26" fillId="0" borderId="3" xfId="13" applyNumberFormat="1">
      <alignment horizontal="center"/>
    </xf>
    <xf numFmtId="41" fontId="24" fillId="0" borderId="3" xfId="2" applyFont="1" applyBorder="1"/>
    <xf numFmtId="168" fontId="23" fillId="4" borderId="4" xfId="25" applyFont="1" applyFill="1" applyBorder="1" applyAlignment="1" applyProtection="1">
      <alignment horizontal="center"/>
      <protection locked="0"/>
    </xf>
    <xf numFmtId="179" fontId="23" fillId="4" borderId="4" xfId="14" applyNumberFormat="1" applyAlignment="1">
      <alignment horizontal="center"/>
      <protection locked="0"/>
    </xf>
    <xf numFmtId="179" fontId="26" fillId="0" borderId="3" xfId="13" applyNumberFormat="1">
      <alignment horizontal="center"/>
    </xf>
    <xf numFmtId="179" fontId="26" fillId="7" borderId="2" xfId="26" applyNumberFormat="1" applyAlignment="1">
      <alignment horizontal="center"/>
    </xf>
    <xf numFmtId="0" fontId="31" fillId="0" borderId="0" xfId="27" applyAlignment="1">
      <alignment horizontal="right"/>
    </xf>
    <xf numFmtId="10" fontId="23" fillId="4" borderId="4" xfId="5" applyNumberFormat="1" applyFont="1" applyFill="1" applyBorder="1" applyAlignment="1" applyProtection="1">
      <alignment horizontal="center"/>
      <protection locked="0"/>
    </xf>
    <xf numFmtId="42" fontId="23" fillId="4" borderId="4" xfId="4" applyFont="1" applyFill="1" applyBorder="1" applyAlignment="1" applyProtection="1">
      <alignment horizontal="center"/>
      <protection locked="0"/>
    </xf>
    <xf numFmtId="179" fontId="26" fillId="6" borderId="5" xfId="21" applyNumberFormat="1" applyAlignment="1">
      <alignment horizontal="center"/>
    </xf>
    <xf numFmtId="180" fontId="26" fillId="8" borderId="3" xfId="13" applyNumberFormat="1" applyFill="1" applyAlignment="1"/>
    <xf numFmtId="10" fontId="26" fillId="6" borderId="5" xfId="21" applyNumberFormat="1" applyAlignment="1">
      <alignment horizontal="center"/>
    </xf>
    <xf numFmtId="0" fontId="22" fillId="0" borderId="0" xfId="0" applyFont="1"/>
    <xf numFmtId="180" fontId="22" fillId="0" borderId="13" xfId="0" applyNumberFormat="1" applyFont="1" applyBorder="1"/>
    <xf numFmtId="42" fontId="26" fillId="6" borderId="5" xfId="4" applyFont="1" applyFill="1" applyBorder="1" applyAlignment="1">
      <alignment horizontal="center"/>
    </xf>
    <xf numFmtId="10" fontId="26" fillId="6" borderId="5" xfId="5" applyNumberFormat="1" applyFont="1" applyFill="1" applyBorder="1" applyAlignment="1">
      <alignment horizontal="center"/>
    </xf>
    <xf numFmtId="181" fontId="26" fillId="12" borderId="3" xfId="13" applyNumberFormat="1" applyFill="1" applyAlignment="1"/>
    <xf numFmtId="182" fontId="26" fillId="8" borderId="3" xfId="13" applyNumberFormat="1" applyFill="1">
      <alignment horizontal="center"/>
    </xf>
    <xf numFmtId="181" fontId="22" fillId="0" borderId="13" xfId="0" applyNumberFormat="1" applyFont="1" applyBorder="1"/>
    <xf numFmtId="42" fontId="32" fillId="0" borderId="0" xfId="4" applyFont="1"/>
    <xf numFmtId="10" fontId="26" fillId="0" borderId="3" xfId="13" applyNumberFormat="1" applyAlignment="1">
      <alignment horizontal="center"/>
    </xf>
    <xf numFmtId="0" fontId="25" fillId="0" borderId="0" xfId="8">
      <alignment horizontal="left"/>
      <protection locked="0"/>
    </xf>
    <xf numFmtId="0" fontId="9" fillId="0" borderId="0" xfId="6" applyFont="1" applyAlignment="1">
      <alignment horizontal="left" vertical="center"/>
    </xf>
    <xf numFmtId="0" fontId="25" fillId="0" borderId="0" xfId="8">
      <alignment horizontal="left"/>
      <protection locked="0"/>
    </xf>
    <xf numFmtId="0" fontId="0" fillId="0" borderId="0" xfId="0"/>
    <xf numFmtId="0" fontId="11" fillId="11" borderId="0" xfId="32">
      <alignment horizontal="center"/>
    </xf>
    <xf numFmtId="0" fontId="26" fillId="0" borderId="3" xfId="13" applyAlignment="1">
      <alignment horizontal="left"/>
    </xf>
    <xf numFmtId="0" fontId="23" fillId="4" borderId="4" xfId="14" applyAlignment="1">
      <alignment horizontal="left"/>
      <protection locked="0"/>
    </xf>
  </cellXfs>
  <cellStyles count="41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6" builtinId="16" customBuiltin="1"/>
    <cellStyle name="Heading 1 Number" xfId="40" xr:uid="{00000000-0005-0000-0000-00000C000000}"/>
    <cellStyle name="Heading 1 Text" xfId="10" xr:uid="{00000000-0005-0000-0000-00000D000000}"/>
    <cellStyle name="Heading 2" xfId="37" builtinId="17" customBuiltin="1"/>
    <cellStyle name="Heading 2 Text" xfId="11" xr:uid="{00000000-0005-0000-0000-00000F000000}"/>
    <cellStyle name="Heading 3" xfId="38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tes" xfId="24" xr:uid="{00000000-0005-0000-0000-00001B000000}"/>
    <cellStyle name="Numbers 0" xfId="25" xr:uid="{00000000-0005-0000-0000-00001C000000}"/>
    <cellStyle name="Parameter" xfId="26" xr:uid="{00000000-0005-0000-0000-00001D000000}"/>
    <cellStyle name="Percent" xfId="5" builtinId="5"/>
    <cellStyle name="Range Name Description" xfId="27" xr:uid="{00000000-0005-0000-0000-00001F000000}"/>
    <cellStyle name="Right Currency" xfId="28" xr:uid="{00000000-0005-0000-0000-000020000000}"/>
    <cellStyle name="Right Number" xfId="29" xr:uid="{00000000-0005-0000-0000-000021000000}"/>
    <cellStyle name="Row Ref" xfId="30" xr:uid="{00000000-0005-0000-0000-000022000000}"/>
    <cellStyle name="Row_Summary" xfId="31" xr:uid="{00000000-0005-0000-0000-000023000000}"/>
    <cellStyle name="Sheet Title" xfId="7" xr:uid="{00000000-0005-0000-0000-000024000000}"/>
    <cellStyle name="Table_Heading" xfId="32" xr:uid="{00000000-0005-0000-0000-000025000000}"/>
    <cellStyle name="Title" xfId="35" builtinId="15" customBuiltin="1"/>
    <cellStyle name="Total" xfId="39" builtinId="25" customBuiltin="1"/>
    <cellStyle name="Units" xfId="33" xr:uid="{00000000-0005-0000-0000-000028000000}"/>
    <cellStyle name="WIP" xfId="34" xr:uid="{00000000-0005-0000-0000-000029000000}"/>
  </cellStyles>
  <dxfs count="18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71" t="s">
        <v>1</v>
      </c>
    </row>
    <row r="5" spans="1:19" ht="20.25" x14ac:dyDescent="0.3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16" t="str">
        <f ca="1">Model_Name</f>
        <v>Chapter 3.3 - SP Pro-Rating Over Time Example.xlsx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40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19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20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72" t="s">
        <v>145</v>
      </c>
      <c r="D17" s="72"/>
      <c r="E17" s="72"/>
      <c r="F17" s="72"/>
      <c r="G17" s="72"/>
      <c r="H17" s="72"/>
      <c r="I17" s="72"/>
      <c r="J17" s="72"/>
    </row>
    <row r="18" spans="3:10" ht="12.75" x14ac:dyDescent="0.2">
      <c r="C18" s="72"/>
      <c r="D18" s="72"/>
      <c r="E18" s="72"/>
      <c r="F18" s="72"/>
      <c r="G18" s="72"/>
      <c r="H18" s="72"/>
      <c r="I18" s="72"/>
      <c r="J18" s="72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21</v>
      </c>
      <c r="D21" s="9"/>
      <c r="E21" s="7"/>
      <c r="F21" s="7"/>
      <c r="G21" s="73" t="s">
        <v>22</v>
      </c>
      <c r="H21" s="73"/>
      <c r="I21" s="73"/>
      <c r="J21" s="7"/>
    </row>
    <row r="22" spans="3:10" ht="12.75" x14ac:dyDescent="0.2">
      <c r="C22" s="10" t="s">
        <v>23</v>
      </c>
      <c r="D22" s="9"/>
      <c r="E22" s="7"/>
      <c r="F22" s="7"/>
      <c r="G22" s="73" t="s">
        <v>24</v>
      </c>
      <c r="H22" s="73"/>
      <c r="I22" s="73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14" t="s">
        <v>1</v>
      </c>
      <c r="F1" s="12"/>
      <c r="G1" s="12"/>
    </row>
    <row r="2" spans="1:12" ht="18" x14ac:dyDescent="0.25">
      <c r="A2" s="16" t="str">
        <f ca="1">Model_Name</f>
        <v>Chapter 3.3 - SP Pro-Rating Over Time Example.xlsx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3">
        <v>1</v>
      </c>
      <c r="C7" s="43" t="s">
        <v>25</v>
      </c>
      <c r="D7" s="43"/>
      <c r="E7" s="43"/>
      <c r="F7" s="43"/>
      <c r="G7" s="43"/>
      <c r="H7" s="43"/>
      <c r="I7" s="43"/>
      <c r="J7" s="43"/>
      <c r="K7" s="43"/>
      <c r="L7" s="43"/>
    </row>
    <row r="8" spans="1:12" ht="12.75" thickTop="1" x14ac:dyDescent="0.2"/>
    <row r="9" spans="1:12" x14ac:dyDescent="0.2">
      <c r="F9" s="71" t="s">
        <v>26</v>
      </c>
    </row>
    <row r="10" spans="1:12" x14ac:dyDescent="0.2">
      <c r="F10" s="71" t="s">
        <v>27</v>
      </c>
    </row>
    <row r="11" spans="1:12" x14ac:dyDescent="0.2">
      <c r="F11" s="71" t="s">
        <v>0</v>
      </c>
    </row>
    <row r="12" spans="1:12" x14ac:dyDescent="0.2">
      <c r="F12" s="71" t="s">
        <v>142</v>
      </c>
    </row>
    <row r="13" spans="1:12" x14ac:dyDescent="0.2">
      <c r="F13" s="71" t="s">
        <v>143</v>
      </c>
    </row>
    <row r="14" spans="1:12" x14ac:dyDescent="0.2">
      <c r="F14" s="71" t="s">
        <v>70</v>
      </c>
    </row>
    <row r="15" spans="1:12" x14ac:dyDescent="0.2">
      <c r="F15" s="71" t="s">
        <v>66</v>
      </c>
    </row>
    <row r="16" spans="1:12" x14ac:dyDescent="0.2">
      <c r="F16" s="11"/>
    </row>
  </sheetData>
  <conditionalFormatting sqref="G4">
    <cfRule type="cellIs" dxfId="14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041E58A8-3702-4893-B7EE-82F36FF8439F}"/>
    <hyperlink ref="F10" location="HL_3" display="Style Guide" xr:uid="{F4ADCCDD-68FA-4F4F-9AF7-8C8E26B9010A}"/>
    <hyperlink ref="F11" location="HL_4" display="Model Parameters" xr:uid="{EABE2F13-A9A6-41E5-BC47-6E0E08E4B03C}"/>
    <hyperlink ref="F12" location="HL_5" display="Staffing Assumptions" xr:uid="{EEA18610-02CA-4609-B66B-D22CB59D6DCC}"/>
    <hyperlink ref="F13" location="HL_6" display="Staffing Summary" xr:uid="{B2D6CDFA-B375-466A-85F2-8B3C20AE5B03}"/>
    <hyperlink ref="F14" location="HL_7" display="Timing" xr:uid="{23703E3C-55BA-4E76-A27F-EB302C9C7F83}"/>
    <hyperlink ref="F15" location="HL_8" display="Error Checks" xr:uid="{CBF8656E-4D98-4799-A3ED-A58641132683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16" t="str">
        <f ca="1">Model_Name</f>
        <v>Chapter 3.3 - SP Pro-Rating Over Time Example.xlsx</v>
      </c>
    </row>
    <row r="3" spans="1:13" x14ac:dyDescent="0.2">
      <c r="A3" s="73" t="s">
        <v>1</v>
      </c>
      <c r="B3" s="73"/>
      <c r="C3" s="73"/>
      <c r="D3" s="73"/>
      <c r="E3" s="73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3">
        <f>MAX($B$5:$B5)+1</f>
        <v>1</v>
      </c>
      <c r="C6" s="2" t="s">
        <v>28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75" t="s">
        <v>29</v>
      </c>
      <c r="D8" s="75"/>
      <c r="E8" s="75"/>
      <c r="F8" s="75"/>
      <c r="G8" s="75"/>
      <c r="H8" s="13"/>
      <c r="I8" s="13" t="s">
        <v>30</v>
      </c>
      <c r="J8" s="13"/>
      <c r="K8" s="13" t="s">
        <v>31</v>
      </c>
    </row>
    <row r="9" spans="1:13" outlineLevel="1" x14ac:dyDescent="0.2">
      <c r="C9" s="74"/>
      <c r="D9" s="74"/>
      <c r="E9" s="74"/>
      <c r="F9" s="74"/>
      <c r="G9" s="74"/>
      <c r="K9" s="17"/>
    </row>
    <row r="10" spans="1:13" ht="20.25" outlineLevel="1" x14ac:dyDescent="0.3">
      <c r="C10" s="74" t="s">
        <v>32</v>
      </c>
      <c r="D10" s="74"/>
      <c r="E10" s="74"/>
      <c r="F10" s="74"/>
      <c r="G10" s="74"/>
      <c r="I10" s="14" t="str">
        <f>C10</f>
        <v>Sheet Title</v>
      </c>
      <c r="K10" s="15" t="s">
        <v>32</v>
      </c>
    </row>
    <row r="11" spans="1:13" ht="18" outlineLevel="1" x14ac:dyDescent="0.25">
      <c r="C11" s="74" t="s">
        <v>5</v>
      </c>
      <c r="D11" s="74"/>
      <c r="E11" s="74"/>
      <c r="F11" s="74"/>
      <c r="G11" s="74"/>
      <c r="I11" s="16" t="str">
        <f>C11</f>
        <v>Model Name</v>
      </c>
      <c r="K11" s="15" t="s">
        <v>5</v>
      </c>
    </row>
    <row r="12" spans="1:13" outlineLevel="1" x14ac:dyDescent="0.2">
      <c r="C12" s="74"/>
      <c r="D12" s="74"/>
      <c r="E12" s="74"/>
      <c r="F12" s="74"/>
      <c r="G12" s="74"/>
      <c r="K12" s="17"/>
    </row>
    <row r="13" spans="1:13" ht="16.5" outlineLevel="1" thickBot="1" x14ac:dyDescent="0.3">
      <c r="C13" s="74" t="s">
        <v>33</v>
      </c>
      <c r="D13" s="74"/>
      <c r="E13" s="74"/>
      <c r="F13" s="74"/>
      <c r="G13" s="74"/>
      <c r="I13" s="42" t="str">
        <f>C13</f>
        <v>Header 1</v>
      </c>
      <c r="K13" s="15" t="s">
        <v>33</v>
      </c>
    </row>
    <row r="14" spans="1:13" ht="17.25" outlineLevel="1" thickTop="1" x14ac:dyDescent="0.25">
      <c r="C14" s="74" t="s">
        <v>34</v>
      </c>
      <c r="D14" s="74"/>
      <c r="E14" s="74"/>
      <c r="F14" s="74"/>
      <c r="G14" s="74"/>
      <c r="I14" s="3" t="str">
        <f>C14</f>
        <v>Header 2</v>
      </c>
      <c r="K14" s="15" t="s">
        <v>34</v>
      </c>
    </row>
    <row r="15" spans="1:13" ht="15" outlineLevel="1" x14ac:dyDescent="0.25">
      <c r="C15" s="74" t="s">
        <v>35</v>
      </c>
      <c r="D15" s="74"/>
      <c r="E15" s="74"/>
      <c r="F15" s="74"/>
      <c r="G15" s="74"/>
      <c r="I15" s="4" t="str">
        <f>C15</f>
        <v>Header 3</v>
      </c>
      <c r="K15" s="15" t="s">
        <v>35</v>
      </c>
    </row>
    <row r="16" spans="1:13" ht="15" outlineLevel="1" x14ac:dyDescent="0.25">
      <c r="C16" s="74" t="s">
        <v>36</v>
      </c>
      <c r="D16" s="74"/>
      <c r="E16" s="74"/>
      <c r="F16" s="74"/>
      <c r="G16" s="74"/>
      <c r="I16" s="18" t="str">
        <f>C16</f>
        <v>Header 4</v>
      </c>
      <c r="K16" s="15" t="s">
        <v>36</v>
      </c>
    </row>
    <row r="17" spans="2:14" outlineLevel="1" x14ac:dyDescent="0.2">
      <c r="C17" s="74"/>
      <c r="D17" s="74"/>
      <c r="E17" s="74"/>
      <c r="F17" s="74"/>
      <c r="G17" s="74"/>
      <c r="K17" s="17"/>
    </row>
    <row r="18" spans="2:14" ht="15" outlineLevel="1" x14ac:dyDescent="0.25">
      <c r="C18" s="74" t="s">
        <v>37</v>
      </c>
      <c r="D18" s="74"/>
      <c r="E18" s="74"/>
      <c r="F18" s="74"/>
      <c r="G18" s="74"/>
      <c r="I18" s="19" t="str">
        <f>C18</f>
        <v>Notes</v>
      </c>
      <c r="K18" s="15" t="s">
        <v>37</v>
      </c>
    </row>
    <row r="19" spans="2:14" outlineLevel="1" x14ac:dyDescent="0.2">
      <c r="C19" s="74"/>
      <c r="D19" s="74"/>
      <c r="E19" s="74"/>
      <c r="F19" s="74"/>
      <c r="G19" s="74"/>
      <c r="K19" s="17"/>
      <c r="N19" s="19"/>
    </row>
    <row r="20" spans="2:14" ht="15" outlineLevel="1" x14ac:dyDescent="0.25">
      <c r="C20" s="74" t="s">
        <v>38</v>
      </c>
      <c r="D20" s="74"/>
      <c r="E20" s="74"/>
      <c r="F20" s="74"/>
      <c r="G20" s="74"/>
      <c r="I20" s="13" t="str">
        <f>C20</f>
        <v>Table Heading</v>
      </c>
      <c r="K20" s="15" t="s">
        <v>38</v>
      </c>
    </row>
    <row r="21" spans="2:14" outlineLevel="1" x14ac:dyDescent="0.2"/>
    <row r="22" spans="2:14" outlineLevel="1" x14ac:dyDescent="0.2"/>
    <row r="23" spans="2:14" ht="16.5" thickBot="1" x14ac:dyDescent="0.3">
      <c r="B23" s="43">
        <f>MAX($B$5:$B22)+1</f>
        <v>2</v>
      </c>
      <c r="C23" s="2" t="s">
        <v>39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75" t="s">
        <v>29</v>
      </c>
      <c r="D25" s="75"/>
      <c r="E25" s="75"/>
      <c r="F25" s="75"/>
      <c r="G25" s="75"/>
      <c r="H25" s="13"/>
      <c r="I25" s="13" t="s">
        <v>30</v>
      </c>
      <c r="J25" s="13"/>
      <c r="K25" s="13" t="s">
        <v>31</v>
      </c>
    </row>
    <row r="26" spans="2:14" ht="15" outlineLevel="1" x14ac:dyDescent="0.25">
      <c r="C26" s="74"/>
      <c r="D26" s="74"/>
      <c r="E26" s="74"/>
      <c r="F26" s="74"/>
      <c r="G26" s="74"/>
      <c r="K26" s="15"/>
    </row>
    <row r="27" spans="2:14" ht="15" outlineLevel="1" x14ac:dyDescent="0.25">
      <c r="C27" s="74" t="s">
        <v>40</v>
      </c>
      <c r="D27" s="74"/>
      <c r="E27" s="74"/>
      <c r="F27" s="74"/>
      <c r="G27" s="74"/>
      <c r="I27" s="20" t="s">
        <v>40</v>
      </c>
      <c r="K27" s="21" t="str">
        <f>C27</f>
        <v>Assumption</v>
      </c>
    </row>
    <row r="28" spans="2:14" ht="15" outlineLevel="1" x14ac:dyDescent="0.25">
      <c r="C28" s="74"/>
      <c r="D28" s="74"/>
      <c r="E28" s="74"/>
      <c r="F28" s="74"/>
      <c r="G28" s="74"/>
      <c r="K28" s="21"/>
    </row>
    <row r="29" spans="2:14" ht="15" outlineLevel="1" x14ac:dyDescent="0.25">
      <c r="C29" s="74" t="s">
        <v>41</v>
      </c>
      <c r="D29" s="74"/>
      <c r="E29" s="74"/>
      <c r="F29" s="74"/>
      <c r="G29" s="74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74"/>
      <c r="D30" s="74"/>
      <c r="E30" s="74"/>
      <c r="F30" s="74"/>
      <c r="G30" s="74"/>
      <c r="K30" s="21"/>
    </row>
    <row r="31" spans="2:14" ht="15" outlineLevel="1" x14ac:dyDescent="0.25">
      <c r="C31" s="74" t="s">
        <v>42</v>
      </c>
      <c r="D31" s="74"/>
      <c r="E31" s="74"/>
      <c r="F31" s="74"/>
      <c r="G31" s="74"/>
      <c r="I31" s="23"/>
      <c r="K31" s="21" t="str">
        <f>C31</f>
        <v>Empty</v>
      </c>
    </row>
    <row r="32" spans="2:14" ht="15" outlineLevel="1" x14ac:dyDescent="0.25">
      <c r="C32" s="74"/>
      <c r="D32" s="74"/>
      <c r="E32" s="74"/>
      <c r="F32" s="74"/>
      <c r="G32" s="74"/>
      <c r="K32" s="21"/>
    </row>
    <row r="33" spans="3:11" ht="15" outlineLevel="1" x14ac:dyDescent="0.25">
      <c r="C33" t="s">
        <v>43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74" t="s">
        <v>44</v>
      </c>
      <c r="D35" s="74"/>
      <c r="E35" s="74"/>
      <c r="F35" s="74"/>
      <c r="G35" s="74"/>
      <c r="I35" s="11" t="s">
        <v>44</v>
      </c>
      <c r="K35" s="21" t="str">
        <f>C35</f>
        <v>Hyperlink</v>
      </c>
    </row>
    <row r="36" spans="3:11" ht="15" outlineLevel="1" x14ac:dyDescent="0.25">
      <c r="C36" s="74"/>
      <c r="D36" s="74"/>
      <c r="E36" s="74"/>
      <c r="F36" s="74"/>
      <c r="G36" s="74"/>
      <c r="K36" s="21"/>
    </row>
    <row r="37" spans="3:11" ht="15" outlineLevel="1" x14ac:dyDescent="0.25">
      <c r="C37" s="74" t="s">
        <v>45</v>
      </c>
      <c r="D37" s="74"/>
      <c r="E37" s="74"/>
      <c r="F37" s="74"/>
      <c r="G37" s="74"/>
      <c r="I37" s="25" t="str">
        <f>'Error Checks'!E12</f>
        <v>Unused</v>
      </c>
      <c r="K37" s="21" t="str">
        <f>C37</f>
        <v>Internal Reference</v>
      </c>
    </row>
    <row r="38" spans="3:11" ht="15" outlineLevel="1" x14ac:dyDescent="0.25">
      <c r="C38" s="74"/>
      <c r="D38" s="74"/>
      <c r="E38" s="74"/>
      <c r="F38" s="74"/>
      <c r="G38" s="74"/>
      <c r="K38" s="21"/>
    </row>
    <row r="39" spans="3:11" ht="15" outlineLevel="1" x14ac:dyDescent="0.25">
      <c r="C39" s="74" t="s">
        <v>46</v>
      </c>
      <c r="D39" s="74"/>
      <c r="E39" s="74"/>
      <c r="F39" s="74"/>
      <c r="G39" s="74"/>
      <c r="I39" s="26">
        <v>77</v>
      </c>
      <c r="K39" s="21" t="s">
        <v>47</v>
      </c>
    </row>
    <row r="40" spans="3:11" ht="15" outlineLevel="1" x14ac:dyDescent="0.25">
      <c r="C40" s="74"/>
      <c r="D40" s="74"/>
      <c r="E40" s="74"/>
      <c r="F40" s="74"/>
      <c r="G40" s="74"/>
      <c r="K40" s="21"/>
    </row>
    <row r="41" spans="3:11" ht="15" outlineLevel="1" x14ac:dyDescent="0.25">
      <c r="C41" s="74" t="s">
        <v>48</v>
      </c>
      <c r="D41" s="74"/>
      <c r="E41" s="74"/>
      <c r="F41" s="74"/>
      <c r="G41" s="74"/>
      <c r="I41" s="27">
        <f>I39</f>
        <v>77</v>
      </c>
      <c r="K41" s="21" t="str">
        <f>C41</f>
        <v>Line Total</v>
      </c>
    </row>
    <row r="42" spans="3:11" ht="15" outlineLevel="1" x14ac:dyDescent="0.25">
      <c r="C42" s="74"/>
      <c r="D42" s="74"/>
      <c r="E42" s="74"/>
      <c r="F42" s="74"/>
      <c r="G42" s="74"/>
      <c r="K42" s="21"/>
    </row>
    <row r="43" spans="3:11" ht="15" outlineLevel="1" x14ac:dyDescent="0.25">
      <c r="C43" s="74" t="s">
        <v>49</v>
      </c>
      <c r="D43" s="74"/>
      <c r="E43" s="74"/>
      <c r="F43" s="74"/>
      <c r="G43" s="74"/>
      <c r="I43" s="28">
        <v>365</v>
      </c>
      <c r="K43" s="21" t="str">
        <f>C43</f>
        <v>Parameter</v>
      </c>
    </row>
    <row r="44" spans="3:11" ht="15" outlineLevel="1" x14ac:dyDescent="0.25">
      <c r="C44" s="74"/>
      <c r="D44" s="74"/>
      <c r="E44" s="74"/>
      <c r="F44" s="74"/>
      <c r="G44" s="74"/>
      <c r="K44" s="21"/>
    </row>
    <row r="45" spans="3:11" ht="15" outlineLevel="1" x14ac:dyDescent="0.25">
      <c r="C45" s="74" t="s">
        <v>50</v>
      </c>
      <c r="D45" s="74"/>
      <c r="E45" s="74"/>
      <c r="F45" s="74"/>
      <c r="G45" s="74"/>
      <c r="I45" s="29" t="s">
        <v>51</v>
      </c>
      <c r="K45" s="21" t="str">
        <f>C45</f>
        <v>Range Name Description</v>
      </c>
    </row>
    <row r="46" spans="3:11" ht="15" outlineLevel="1" x14ac:dyDescent="0.25">
      <c r="C46" s="74"/>
      <c r="D46" s="74"/>
      <c r="E46" s="74"/>
      <c r="F46" s="74"/>
      <c r="G46" s="74"/>
      <c r="K46" s="21"/>
    </row>
    <row r="47" spans="3:11" ht="15" outlineLevel="1" x14ac:dyDescent="0.25">
      <c r="C47" s="74" t="s">
        <v>52</v>
      </c>
      <c r="D47" s="74"/>
      <c r="E47" s="74"/>
      <c r="F47" s="74"/>
      <c r="G47" s="74"/>
      <c r="I47" s="30">
        <f>ROW(C47)</f>
        <v>47</v>
      </c>
      <c r="K47" s="21" t="s">
        <v>53</v>
      </c>
    </row>
    <row r="48" spans="3:11" ht="15" outlineLevel="1" x14ac:dyDescent="0.25">
      <c r="C48" s="74"/>
      <c r="D48" s="74"/>
      <c r="E48" s="74"/>
      <c r="F48" s="74"/>
      <c r="G48" s="74"/>
      <c r="K48" s="21"/>
    </row>
    <row r="49" spans="2:13" ht="15" outlineLevel="1" x14ac:dyDescent="0.25">
      <c r="C49" s="74" t="s">
        <v>54</v>
      </c>
      <c r="D49" s="74"/>
      <c r="E49" s="74"/>
      <c r="F49" s="74"/>
      <c r="G49" s="74"/>
      <c r="I49" s="31">
        <f>I41</f>
        <v>77</v>
      </c>
      <c r="K49" s="21" t="str">
        <f>C49</f>
        <v>Row Summary</v>
      </c>
    </row>
    <row r="50" spans="2:13" ht="15" outlineLevel="1" x14ac:dyDescent="0.25">
      <c r="C50" s="74"/>
      <c r="D50" s="74"/>
      <c r="E50" s="74"/>
      <c r="F50" s="74"/>
      <c r="G50" s="74"/>
      <c r="K50" s="21"/>
    </row>
    <row r="51" spans="2:13" ht="15" outlineLevel="1" x14ac:dyDescent="0.25">
      <c r="C51" s="74" t="s">
        <v>55</v>
      </c>
      <c r="D51" s="74"/>
      <c r="E51" s="74"/>
      <c r="F51" s="74"/>
      <c r="G51" s="74"/>
      <c r="I51" s="32" t="s">
        <v>69</v>
      </c>
      <c r="K51" s="21" t="str">
        <f>C51</f>
        <v>Units</v>
      </c>
    </row>
    <row r="52" spans="2:13" ht="15" outlineLevel="1" x14ac:dyDescent="0.25">
      <c r="C52" s="74"/>
      <c r="D52" s="74"/>
      <c r="E52" s="74"/>
      <c r="F52" s="74"/>
      <c r="G52" s="74"/>
      <c r="K52" s="21"/>
    </row>
    <row r="53" spans="2:13" ht="15" outlineLevel="1" x14ac:dyDescent="0.25">
      <c r="C53" s="74" t="s">
        <v>56</v>
      </c>
      <c r="D53" s="74"/>
      <c r="E53" s="74"/>
      <c r="F53" s="74"/>
      <c r="G53" s="74"/>
      <c r="I53" s="33"/>
      <c r="K53" s="21" t="str">
        <f>C53</f>
        <v>WIP</v>
      </c>
    </row>
    <row r="54" spans="2:13" ht="15" outlineLevel="1" x14ac:dyDescent="0.25">
      <c r="C54" s="74"/>
      <c r="D54" s="74"/>
      <c r="E54" s="74"/>
      <c r="F54" s="74"/>
      <c r="G54" s="74"/>
      <c r="K54" s="21"/>
    </row>
    <row r="55" spans="2:13" outlineLevel="1" x14ac:dyDescent="0.2">
      <c r="C55" s="74"/>
      <c r="D55" s="74"/>
      <c r="E55" s="74"/>
      <c r="F55" s="74"/>
      <c r="G55" s="74"/>
    </row>
    <row r="56" spans="2:13" ht="16.5" thickBot="1" x14ac:dyDescent="0.3">
      <c r="B56" s="43">
        <f>MAX($B$5:$B55)+1</f>
        <v>3</v>
      </c>
      <c r="C56" s="2" t="s">
        <v>57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75" t="s">
        <v>29</v>
      </c>
      <c r="D58" s="75"/>
      <c r="E58" s="75"/>
      <c r="F58" s="75"/>
      <c r="G58" s="75"/>
      <c r="H58" s="13"/>
      <c r="I58" s="13" t="s">
        <v>30</v>
      </c>
      <c r="J58" s="13"/>
      <c r="K58" s="13" t="s">
        <v>31</v>
      </c>
    </row>
    <row r="59" spans="2:13" outlineLevel="1" x14ac:dyDescent="0.2"/>
    <row r="60" spans="2:13" ht="15" outlineLevel="1" x14ac:dyDescent="0.25">
      <c r="C60" s="74" t="s">
        <v>58</v>
      </c>
      <c r="D60" s="74"/>
      <c r="E60" s="74"/>
      <c r="F60" s="74"/>
      <c r="G60" s="74"/>
      <c r="I60" s="46">
        <v>123456.789</v>
      </c>
      <c r="K60" s="21" t="str">
        <f t="shared" ref="K60:K66" si="0">C60</f>
        <v>Comma</v>
      </c>
    </row>
    <row r="61" spans="2:13" ht="15" outlineLevel="1" x14ac:dyDescent="0.25">
      <c r="C61" s="74"/>
      <c r="D61" s="74"/>
      <c r="E61" s="74"/>
      <c r="F61" s="74"/>
      <c r="G61" s="74"/>
      <c r="K61" s="21"/>
    </row>
    <row r="62" spans="2:13" ht="15" outlineLevel="1" x14ac:dyDescent="0.25">
      <c r="C62" s="74" t="s">
        <v>59</v>
      </c>
      <c r="D62" s="74"/>
      <c r="E62" s="74"/>
      <c r="F62" s="74"/>
      <c r="G62" s="74"/>
      <c r="I62" s="45">
        <v>-123456.789</v>
      </c>
      <c r="K62" s="21" t="str">
        <f t="shared" si="0"/>
        <v>Comma [0]</v>
      </c>
    </row>
    <row r="63" spans="2:13" ht="15" outlineLevel="1" x14ac:dyDescent="0.25">
      <c r="C63" s="74"/>
      <c r="D63" s="74"/>
      <c r="E63" s="74"/>
      <c r="F63" s="74"/>
      <c r="G63" s="74"/>
      <c r="K63" s="21"/>
    </row>
    <row r="64" spans="2:13" ht="15" outlineLevel="1" x14ac:dyDescent="0.25">
      <c r="C64" s="74" t="s">
        <v>60</v>
      </c>
      <c r="D64" s="74"/>
      <c r="E64" s="74"/>
      <c r="F64" s="74"/>
      <c r="G64" s="74"/>
      <c r="I64" s="47">
        <v>123456.789</v>
      </c>
      <c r="K64" s="21" t="str">
        <f t="shared" si="0"/>
        <v>Currency</v>
      </c>
    </row>
    <row r="65" spans="3:11" ht="15" outlineLevel="1" x14ac:dyDescent="0.25">
      <c r="C65" s="74"/>
      <c r="D65" s="74"/>
      <c r="E65" s="74"/>
      <c r="F65" s="74"/>
      <c r="G65" s="74"/>
      <c r="K65" s="21"/>
    </row>
    <row r="66" spans="3:11" ht="15" outlineLevel="1" x14ac:dyDescent="0.25">
      <c r="C66" s="74" t="s">
        <v>61</v>
      </c>
      <c r="D66" s="74"/>
      <c r="E66" s="74"/>
      <c r="F66" s="74"/>
      <c r="G66" s="74"/>
      <c r="I66" s="48">
        <v>123456.789</v>
      </c>
      <c r="K66" s="21" t="str">
        <f t="shared" si="0"/>
        <v>Currency [0]</v>
      </c>
    </row>
    <row r="67" spans="3:11" ht="15" outlineLevel="1" x14ac:dyDescent="0.25">
      <c r="C67" s="74"/>
      <c r="D67" s="74"/>
      <c r="E67" s="74"/>
      <c r="F67" s="74"/>
      <c r="G67" s="74"/>
      <c r="K67" s="21"/>
    </row>
    <row r="68" spans="3:11" ht="15" outlineLevel="1" x14ac:dyDescent="0.25">
      <c r="C68" s="74" t="s">
        <v>62</v>
      </c>
      <c r="D68" s="74"/>
      <c r="E68" s="74"/>
      <c r="F68" s="74"/>
      <c r="G68" s="74"/>
      <c r="I68" s="49">
        <f ca="1">TODAY()</f>
        <v>43977</v>
      </c>
      <c r="K68" s="21" t="str">
        <f>C68</f>
        <v>Date</v>
      </c>
    </row>
    <row r="69" spans="3:11" ht="15" outlineLevel="1" x14ac:dyDescent="0.25">
      <c r="C69" s="74"/>
      <c r="D69" s="74"/>
      <c r="E69" s="74"/>
      <c r="F69" s="74"/>
      <c r="G69" s="74"/>
      <c r="K69" s="21"/>
    </row>
    <row r="70" spans="3:11" ht="15" outlineLevel="1" x14ac:dyDescent="0.25">
      <c r="C70" s="74" t="s">
        <v>63</v>
      </c>
      <c r="D70" s="74"/>
      <c r="E70" s="74"/>
      <c r="F70" s="74"/>
      <c r="G70" s="74"/>
      <c r="I70" s="39">
        <f ca="1">TODAY()</f>
        <v>43977</v>
      </c>
      <c r="K70" s="21" t="str">
        <f>C70</f>
        <v>Date Heading</v>
      </c>
    </row>
    <row r="71" spans="3:11" ht="15" outlineLevel="1" x14ac:dyDescent="0.25">
      <c r="C71" s="74"/>
      <c r="D71" s="74"/>
      <c r="E71" s="74"/>
      <c r="F71" s="74"/>
      <c r="G71" s="74"/>
      <c r="K71" s="21"/>
    </row>
    <row r="72" spans="3:11" ht="15" outlineLevel="1" x14ac:dyDescent="0.25">
      <c r="C72" s="74" t="s">
        <v>64</v>
      </c>
      <c r="D72" s="74"/>
      <c r="E72" s="74"/>
      <c r="F72" s="74"/>
      <c r="G72" s="74"/>
      <c r="I72" s="35">
        <v>-123456.789</v>
      </c>
      <c r="K72" s="21" t="str">
        <f>C72</f>
        <v>Numbers 0</v>
      </c>
    </row>
    <row r="73" spans="3:11" ht="15" outlineLevel="1" x14ac:dyDescent="0.25">
      <c r="C73" s="74"/>
      <c r="D73" s="74"/>
      <c r="E73" s="74"/>
      <c r="F73" s="74"/>
      <c r="G73" s="74"/>
      <c r="K73" s="21"/>
    </row>
    <row r="74" spans="3:11" ht="15" outlineLevel="1" x14ac:dyDescent="0.25">
      <c r="C74" s="74" t="s">
        <v>65</v>
      </c>
      <c r="D74" s="74"/>
      <c r="E74" s="74"/>
      <c r="F74" s="74"/>
      <c r="G74" s="74"/>
      <c r="I74" s="36">
        <v>0.5</v>
      </c>
      <c r="K74" s="21" t="str">
        <f>C74</f>
        <v>Percent</v>
      </c>
    </row>
    <row r="75" spans="3:11" outlineLevel="1" x14ac:dyDescent="0.2">
      <c r="C75" s="74"/>
      <c r="D75" s="74"/>
      <c r="E75" s="74"/>
      <c r="F75" s="74"/>
      <c r="G75" s="74"/>
    </row>
    <row r="76" spans="3:11" outlineLevel="1" x14ac:dyDescent="0.2">
      <c r="C76" s="74"/>
      <c r="D76" s="74"/>
      <c r="E76" s="74"/>
      <c r="F76" s="74"/>
      <c r="G76" s="74"/>
    </row>
    <row r="77" spans="3:11" x14ac:dyDescent="0.2">
      <c r="C77" s="74"/>
      <c r="D77" s="74"/>
      <c r="E77" s="74"/>
      <c r="F77" s="74"/>
      <c r="G77" s="74"/>
    </row>
    <row r="78" spans="3:11" x14ac:dyDescent="0.2">
      <c r="C78" s="74"/>
      <c r="D78" s="74"/>
      <c r="E78" s="74"/>
      <c r="F78" s="74"/>
      <c r="G78" s="74"/>
    </row>
    <row r="79" spans="3:11" x14ac:dyDescent="0.2">
      <c r="C79" s="74"/>
      <c r="D79" s="74"/>
      <c r="E79" s="74"/>
      <c r="F79" s="74"/>
      <c r="G79" s="74"/>
    </row>
    <row r="80" spans="3:11" x14ac:dyDescent="0.2">
      <c r="C80" s="74"/>
      <c r="D80" s="74"/>
      <c r="E80" s="74"/>
      <c r="F80" s="74"/>
      <c r="G80" s="74"/>
    </row>
    <row r="81" spans="3:7" x14ac:dyDescent="0.2">
      <c r="C81" s="74"/>
      <c r="D81" s="74"/>
      <c r="E81" s="74"/>
      <c r="F81" s="74"/>
      <c r="G81" s="74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13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42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73"/>
      <c r="K1" s="73"/>
    </row>
    <row r="2" spans="1:18" ht="18" x14ac:dyDescent="0.25">
      <c r="A2" s="16" t="str">
        <f ca="1">Model_Name</f>
        <v>Chapter 3.3 - SP Pro-Rating Over Time Example.xlsx</v>
      </c>
    </row>
    <row r="3" spans="1:18" x14ac:dyDescent="0.2">
      <c r="A3" s="73" t="s">
        <v>1</v>
      </c>
      <c r="B3" s="73"/>
      <c r="C3" s="73"/>
      <c r="D3" s="73"/>
      <c r="E3" s="73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3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76" t="str">
        <f ca="1">IF(ISERROR(OR(FIND("[",CELL("filename",A1)),FIND("]",CELL("filename",A1)))),"",MID(CELL("filename",A1),FIND("[",CELL("filename",A1))+1,FIND("]",CELL("filename",A1))-FIND("[",CELL("filename",A1))-1))</f>
        <v>Chapter 3.3 - SP Pro-Rating Over Time Example.xlsx</v>
      </c>
      <c r="H11" s="76"/>
      <c r="I11" s="76"/>
      <c r="J11" s="76"/>
      <c r="K11" s="76"/>
      <c r="L11" s="76"/>
      <c r="M11" s="76"/>
      <c r="N11" s="76"/>
    </row>
    <row r="12" spans="1:18" outlineLevel="1" x14ac:dyDescent="0.2">
      <c r="E12" t="s">
        <v>6</v>
      </c>
      <c r="G12" s="77" t="s">
        <v>83</v>
      </c>
      <c r="H12" s="77"/>
      <c r="I12" s="77"/>
      <c r="J12" s="77"/>
      <c r="K12" s="77"/>
      <c r="L12" s="77"/>
      <c r="M12" s="77"/>
      <c r="N12" s="77"/>
    </row>
    <row r="13" spans="1:18" outlineLevel="1" x14ac:dyDescent="0.2"/>
    <row r="14" spans="1:18" outlineLevel="1" x14ac:dyDescent="0.2"/>
    <row r="15" spans="1:18" ht="16.5" thickBot="1" x14ac:dyDescent="0.3">
      <c r="B15" s="43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spans="2:18" outlineLevel="1" x14ac:dyDescent="0.2"/>
    <row r="34" spans="2:18" ht="16.5" thickBot="1" x14ac:dyDescent="0.3">
      <c r="B34" s="43">
        <f>MAX($B$5:$B33)+1</f>
        <v>3</v>
      </c>
      <c r="C34" s="2" t="s">
        <v>122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ht="12.75" outlineLevel="1" thickTop="1" x14ac:dyDescent="0.2"/>
    <row r="36" spans="2:18" ht="16.5" outlineLevel="1" x14ac:dyDescent="0.25">
      <c r="C36" s="3" t="s">
        <v>123</v>
      </c>
    </row>
    <row r="38" spans="2:18" ht="15" x14ac:dyDescent="0.25">
      <c r="D38" s="4" t="str">
        <f>C36&amp;" "&amp;C34</f>
        <v>Lookup Yes No</v>
      </c>
    </row>
    <row r="40" spans="2:18" x14ac:dyDescent="0.2">
      <c r="F40" s="13" t="str">
        <f>"LU_"&amp;SUBSTITUTE(C34," ","_")</f>
        <v>LU_Yes_No</v>
      </c>
    </row>
    <row r="41" spans="2:18" ht="12.75" x14ac:dyDescent="0.2">
      <c r="F41" s="5" t="s">
        <v>124</v>
      </c>
      <c r="I41" s="29" t="s">
        <v>126</v>
      </c>
    </row>
    <row r="42" spans="2:18" x14ac:dyDescent="0.2">
      <c r="F42" s="5" t="s">
        <v>125</v>
      </c>
    </row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12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90CA-9F67-4826-A0E8-AF7A43EC046A}">
  <sheetPr>
    <outlinePr summaryBelow="0" summaryRight="0"/>
  </sheetPr>
  <dimension ref="A1:T42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outlineLevelRow="1" x14ac:dyDescent="0.2"/>
  <cols>
    <col min="1" max="5" width="3.7109375" customWidth="1"/>
    <col min="6" max="6" width="9.7109375" bestFit="1" customWidth="1"/>
    <col min="7" max="7" width="11.42578125" bestFit="1" customWidth="1"/>
    <col min="8" max="8" width="10.28515625" bestFit="1" customWidth="1"/>
    <col min="9" max="9" width="9.140625" customWidth="1"/>
    <col min="10" max="10" width="15.85546875" bestFit="1" customWidth="1"/>
    <col min="11" max="12" width="13.42578125" customWidth="1"/>
    <col min="13" max="13" width="9.85546875" bestFit="1" customWidth="1"/>
    <col min="14" max="16" width="13.42578125" customWidth="1"/>
  </cols>
  <sheetData>
    <row r="1" spans="1:20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Staffing Assumptions</v>
      </c>
    </row>
    <row r="2" spans="1:20" ht="18" x14ac:dyDescent="0.25">
      <c r="A2" s="16" t="str">
        <f ca="1">Model_Name</f>
        <v>Chapter 3.3 - SP Pro-Rating Over Time Example.xlsx</v>
      </c>
    </row>
    <row r="3" spans="1:20" x14ac:dyDescent="0.2">
      <c r="A3" s="73" t="s">
        <v>1</v>
      </c>
      <c r="B3" s="73"/>
      <c r="C3" s="73"/>
      <c r="D3" s="73"/>
      <c r="E3" s="73"/>
    </row>
    <row r="4" spans="1:20" ht="14.25" x14ac:dyDescent="0.2">
      <c r="E4" t="s">
        <v>2</v>
      </c>
      <c r="I4" s="1">
        <f>Overall_Error_Check</f>
        <v>0</v>
      </c>
    </row>
    <row r="5" spans="1:20" x14ac:dyDescent="0.2">
      <c r="A5" s="11"/>
    </row>
    <row r="6" spans="1:20" ht="16.5" thickBot="1" x14ac:dyDescent="0.3">
      <c r="B6" s="43">
        <f>MAX($B$5:$B5)+1</f>
        <v>1</v>
      </c>
      <c r="C6" s="2" t="s">
        <v>114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2.75" outlineLevel="1" thickTop="1" x14ac:dyDescent="0.2"/>
    <row r="8" spans="1:20" ht="16.5" outlineLevel="1" x14ac:dyDescent="0.25">
      <c r="C8" s="3" t="s">
        <v>90</v>
      </c>
    </row>
    <row r="9" spans="1:20" outlineLevel="1" x14ac:dyDescent="0.2"/>
    <row r="10" spans="1:20" ht="15" outlineLevel="1" x14ac:dyDescent="0.25">
      <c r="D10" s="4" t="s">
        <v>91</v>
      </c>
    </row>
    <row r="11" spans="1:20" outlineLevel="1" x14ac:dyDescent="0.2"/>
    <row r="12" spans="1:20" ht="12.75" outlineLevel="1" x14ac:dyDescent="0.2">
      <c r="F12" t="str">
        <f>C8</f>
        <v>Hours in Working Week</v>
      </c>
      <c r="H12" s="32" t="s">
        <v>92</v>
      </c>
      <c r="I12" s="52">
        <v>40</v>
      </c>
      <c r="K12" s="56" t="s">
        <v>93</v>
      </c>
    </row>
    <row r="13" spans="1:20" outlineLevel="1" x14ac:dyDescent="0.2"/>
    <row r="14" spans="1:20" outlineLevel="1" x14ac:dyDescent="0.2"/>
    <row r="15" spans="1:20" ht="16.5" outlineLevel="1" x14ac:dyDescent="0.25">
      <c r="C15" s="3" t="s">
        <v>115</v>
      </c>
    </row>
    <row r="16" spans="1:20" outlineLevel="1" x14ac:dyDescent="0.2"/>
    <row r="17" spans="2:20" ht="15" outlineLevel="1" x14ac:dyDescent="0.25">
      <c r="D17" s="4" t="s">
        <v>91</v>
      </c>
      <c r="P17" t="s">
        <v>127</v>
      </c>
    </row>
    <row r="18" spans="2:20" outlineLevel="1" x14ac:dyDescent="0.2"/>
    <row r="19" spans="2:20" ht="12.75" outlineLevel="1" x14ac:dyDescent="0.2">
      <c r="F19" t="str">
        <f>C15</f>
        <v>Probation Duration</v>
      </c>
      <c r="H19" s="32" t="s">
        <v>116</v>
      </c>
      <c r="I19" s="52">
        <v>90</v>
      </c>
      <c r="K19" s="56" t="s">
        <v>117</v>
      </c>
    </row>
    <row r="20" spans="2:20" outlineLevel="1" x14ac:dyDescent="0.2"/>
    <row r="21" spans="2:20" outlineLevel="1" x14ac:dyDescent="0.2"/>
    <row r="22" spans="2:20" ht="16.5" thickBot="1" x14ac:dyDescent="0.3">
      <c r="B22" s="43">
        <f>MAX($B$5:$B21)+1</f>
        <v>2</v>
      </c>
      <c r="C22" s="2" t="s">
        <v>84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2:20" ht="12.75" outlineLevel="1" thickTop="1" x14ac:dyDescent="0.2"/>
    <row r="24" spans="2:20" ht="16.5" outlineLevel="1" x14ac:dyDescent="0.25">
      <c r="C24" s="3" t="s">
        <v>68</v>
      </c>
    </row>
    <row r="25" spans="2:20" outlineLevel="1" x14ac:dyDescent="0.2"/>
    <row r="26" spans="2:20" ht="15" outlineLevel="1" x14ac:dyDescent="0.25">
      <c r="D26" s="4" t="s">
        <v>85</v>
      </c>
    </row>
    <row r="27" spans="2:20" outlineLevel="1" x14ac:dyDescent="0.2"/>
    <row r="28" spans="2:20" outlineLevel="1" x14ac:dyDescent="0.2">
      <c r="F28" s="13" t="s">
        <v>86</v>
      </c>
      <c r="G28" s="13" t="s">
        <v>87</v>
      </c>
      <c r="H28" s="13" t="s">
        <v>132</v>
      </c>
      <c r="I28" s="13" t="s">
        <v>131</v>
      </c>
      <c r="J28" s="13" t="s">
        <v>128</v>
      </c>
      <c r="K28" s="13" t="s">
        <v>129</v>
      </c>
      <c r="L28" s="13" t="s">
        <v>71</v>
      </c>
      <c r="M28" s="13" t="s">
        <v>121</v>
      </c>
      <c r="N28" s="13" t="s">
        <v>88</v>
      </c>
      <c r="O28" s="13" t="s">
        <v>72</v>
      </c>
      <c r="P28" s="13" t="s">
        <v>89</v>
      </c>
      <c r="Q28" s="13" t="s">
        <v>118</v>
      </c>
    </row>
    <row r="29" spans="2:20" outlineLevel="1" x14ac:dyDescent="0.2">
      <c r="F29" s="20" t="s">
        <v>109</v>
      </c>
      <c r="G29" s="20" t="s">
        <v>110</v>
      </c>
      <c r="H29" s="52">
        <f t="shared" ref="H29:H38" ca="1" si="0">IF(RAND()&lt;0.4,RANDBETWEEN(1,Hours_in_Working_Week),Hours_in_Working_Week)</f>
        <v>40</v>
      </c>
      <c r="I29" s="70">
        <f t="shared" ref="I29:I38" ca="1" si="1">IF(Hours_in_Working_Week,MIN(H29/Hours_in_Working_Week,1),)</f>
        <v>1</v>
      </c>
      <c r="J29" s="58">
        <f ca="1">RANDBETWEEN(20000,60000)</f>
        <v>35535</v>
      </c>
      <c r="K29" s="57">
        <f ca="1">RAND()/30</f>
        <v>1.3891297631950112E-2</v>
      </c>
      <c r="L29" s="53">
        <f t="shared" ref="L29:L38" ca="1" si="2">Model_Start_Date-(2*Days_in_Year)+RANDBETWEEN(1,7*Days_in_Year)</f>
        <v>45085</v>
      </c>
      <c r="M29" s="53" t="s">
        <v>124</v>
      </c>
      <c r="N29" s="54">
        <f t="shared" ref="N29:N38" ca="1" si="3">IF(M29=Yes,L29+Probation_Duration,"")</f>
        <v>45175</v>
      </c>
      <c r="O29" s="53">
        <f t="shared" ref="O29:O38" ca="1" si="4">IF(RAND()&lt;0.1,N29,IF(RAND()&lt;0.5,"",MAX(L29,N29)+RANDBETWEEN(1,12*Days_in_Year)-1))</f>
        <v>47458</v>
      </c>
      <c r="P29" s="53" t="str">
        <f t="shared" ref="P29:P38" ca="1" si="5">IF(O29="","",IF(RAND()&lt;0.5,"",O29+RANDBETWEEN(1,10*Days_in_Year)))</f>
        <v/>
      </c>
      <c r="Q29" s="55">
        <f ca="1">IF(MAX(N29:P29)&gt;=L29,MAX(N29:P29),"N/A")</f>
        <v>47458</v>
      </c>
    </row>
    <row r="30" spans="2:20" outlineLevel="1" x14ac:dyDescent="0.2">
      <c r="F30" s="20" t="s">
        <v>94</v>
      </c>
      <c r="G30" s="20" t="s">
        <v>95</v>
      </c>
      <c r="H30" s="52">
        <f t="shared" ca="1" si="0"/>
        <v>8</v>
      </c>
      <c r="I30" s="70">
        <f t="shared" ca="1" si="1"/>
        <v>0.2</v>
      </c>
      <c r="J30" s="58">
        <f t="shared" ref="J30:J38" ca="1" si="6">RANDBETWEEN(20000,60000)</f>
        <v>58670</v>
      </c>
      <c r="K30" s="57">
        <f t="shared" ref="K30:K38" ca="1" si="7">RAND()/30</f>
        <v>1.9782773905316707E-2</v>
      </c>
      <c r="L30" s="53">
        <f t="shared" ca="1" si="2"/>
        <v>44022</v>
      </c>
      <c r="M30" s="53"/>
      <c r="N30" s="54" t="str">
        <f t="shared" si="3"/>
        <v/>
      </c>
      <c r="O30" s="53">
        <f t="shared" ca="1" si="4"/>
        <v>47735</v>
      </c>
      <c r="P30" s="53" t="str">
        <f t="shared" ca="1" si="5"/>
        <v/>
      </c>
      <c r="Q30" s="55">
        <f t="shared" ref="Q30:Q38" ca="1" si="8">IF(MAX(N30:P30)&gt;=L30,MAX(N30:P30),"N/A")</f>
        <v>47735</v>
      </c>
    </row>
    <row r="31" spans="2:20" outlineLevel="1" x14ac:dyDescent="0.2">
      <c r="F31" s="20" t="s">
        <v>105</v>
      </c>
      <c r="G31" s="20" t="s">
        <v>106</v>
      </c>
      <c r="H31" s="52">
        <f t="shared" ca="1" si="0"/>
        <v>40</v>
      </c>
      <c r="I31" s="70">
        <f t="shared" ca="1" si="1"/>
        <v>1</v>
      </c>
      <c r="J31" s="58">
        <f t="shared" ca="1" si="6"/>
        <v>42802</v>
      </c>
      <c r="K31" s="57">
        <f t="shared" ca="1" si="7"/>
        <v>3.329881551285193E-2</v>
      </c>
      <c r="L31" s="53">
        <f t="shared" ca="1" si="2"/>
        <v>45382</v>
      </c>
      <c r="M31" s="53" t="s">
        <v>124</v>
      </c>
      <c r="N31" s="54">
        <f t="shared" ca="1" si="3"/>
        <v>45472</v>
      </c>
      <c r="O31" s="53">
        <f t="shared" ca="1" si="4"/>
        <v>45999</v>
      </c>
      <c r="P31" s="53">
        <f t="shared" ca="1" si="5"/>
        <v>49293</v>
      </c>
      <c r="Q31" s="55">
        <f t="shared" ca="1" si="8"/>
        <v>49293</v>
      </c>
    </row>
    <row r="32" spans="2:20" outlineLevel="1" x14ac:dyDescent="0.2">
      <c r="F32" s="20" t="s">
        <v>111</v>
      </c>
      <c r="G32" s="20" t="s">
        <v>112</v>
      </c>
      <c r="H32" s="52">
        <f t="shared" ca="1" si="0"/>
        <v>35</v>
      </c>
      <c r="I32" s="70">
        <f t="shared" ca="1" si="1"/>
        <v>0.875</v>
      </c>
      <c r="J32" s="58">
        <f t="shared" ca="1" si="6"/>
        <v>49840</v>
      </c>
      <c r="K32" s="57">
        <f t="shared" ca="1" si="7"/>
        <v>2.802038817438985E-2</v>
      </c>
      <c r="L32" s="53">
        <f t="shared" ca="1" si="2"/>
        <v>44778</v>
      </c>
      <c r="M32" s="53"/>
      <c r="N32" s="54" t="str">
        <f t="shared" si="3"/>
        <v/>
      </c>
      <c r="O32" s="53" t="str">
        <f t="shared" ca="1" si="4"/>
        <v/>
      </c>
      <c r="P32" s="53" t="str">
        <f t="shared" ca="1" si="5"/>
        <v/>
      </c>
      <c r="Q32" s="55" t="str">
        <f t="shared" ca="1" si="8"/>
        <v>N/A</v>
      </c>
    </row>
    <row r="33" spans="6:17" outlineLevel="1" x14ac:dyDescent="0.2">
      <c r="F33" s="20" t="s">
        <v>101</v>
      </c>
      <c r="G33" s="20" t="s">
        <v>102</v>
      </c>
      <c r="H33" s="52">
        <f t="shared" ca="1" si="0"/>
        <v>40</v>
      </c>
      <c r="I33" s="70">
        <f t="shared" ca="1" si="1"/>
        <v>1</v>
      </c>
      <c r="J33" s="58">
        <f t="shared" ca="1" si="6"/>
        <v>29135</v>
      </c>
      <c r="K33" s="57">
        <f t="shared" ca="1" si="7"/>
        <v>1.8817442113621703E-2</v>
      </c>
      <c r="L33" s="53">
        <f t="shared" ca="1" si="2"/>
        <v>43557</v>
      </c>
      <c r="M33" s="53"/>
      <c r="N33" s="54" t="str">
        <f t="shared" si="3"/>
        <v/>
      </c>
      <c r="O33" s="53" t="str">
        <f t="shared" ca="1" si="4"/>
        <v/>
      </c>
      <c r="P33" s="53" t="str">
        <f t="shared" ca="1" si="5"/>
        <v/>
      </c>
      <c r="Q33" s="55" t="str">
        <f t="shared" ca="1" si="8"/>
        <v>N/A</v>
      </c>
    </row>
    <row r="34" spans="6:17" outlineLevel="1" x14ac:dyDescent="0.2">
      <c r="F34" s="20" t="s">
        <v>98</v>
      </c>
      <c r="G34" s="20" t="s">
        <v>99</v>
      </c>
      <c r="H34" s="52">
        <f t="shared" ca="1" si="0"/>
        <v>40</v>
      </c>
      <c r="I34" s="70">
        <f t="shared" ca="1" si="1"/>
        <v>1</v>
      </c>
      <c r="J34" s="58">
        <f t="shared" ca="1" si="6"/>
        <v>53834</v>
      </c>
      <c r="K34" s="57">
        <f t="shared" ca="1" si="7"/>
        <v>1.8423404570079172E-2</v>
      </c>
      <c r="L34" s="53">
        <f t="shared" ca="1" si="2"/>
        <v>43836</v>
      </c>
      <c r="M34" s="53" t="s">
        <v>124</v>
      </c>
      <c r="N34" s="54">
        <f t="shared" ca="1" si="3"/>
        <v>43926</v>
      </c>
      <c r="O34" s="53">
        <f t="shared" ca="1" si="4"/>
        <v>44078</v>
      </c>
      <c r="P34" s="53">
        <f t="shared" ca="1" si="5"/>
        <v>44653</v>
      </c>
      <c r="Q34" s="55">
        <f t="shared" ca="1" si="8"/>
        <v>44653</v>
      </c>
    </row>
    <row r="35" spans="6:17" outlineLevel="1" x14ac:dyDescent="0.2">
      <c r="F35" s="20" t="s">
        <v>103</v>
      </c>
      <c r="G35" s="20" t="s">
        <v>104</v>
      </c>
      <c r="H35" s="52">
        <f t="shared" ca="1" si="0"/>
        <v>40</v>
      </c>
      <c r="I35" s="70">
        <f t="shared" ca="1" si="1"/>
        <v>1</v>
      </c>
      <c r="J35" s="58">
        <f t="shared" ca="1" si="6"/>
        <v>30708</v>
      </c>
      <c r="K35" s="57">
        <f t="shared" ca="1" si="7"/>
        <v>3.8444034837611756E-4</v>
      </c>
      <c r="L35" s="53">
        <f t="shared" ca="1" si="2"/>
        <v>45649</v>
      </c>
      <c r="M35" s="53" t="s">
        <v>124</v>
      </c>
      <c r="N35" s="54">
        <f t="shared" ca="1" si="3"/>
        <v>45739</v>
      </c>
      <c r="O35" s="53">
        <f t="shared" ca="1" si="4"/>
        <v>48047</v>
      </c>
      <c r="P35" s="53">
        <f t="shared" ca="1" si="5"/>
        <v>51159</v>
      </c>
      <c r="Q35" s="55">
        <f t="shared" ca="1" si="8"/>
        <v>51159</v>
      </c>
    </row>
    <row r="36" spans="6:17" outlineLevel="1" x14ac:dyDescent="0.2">
      <c r="F36" s="20" t="s">
        <v>100</v>
      </c>
      <c r="G36" s="20" t="s">
        <v>113</v>
      </c>
      <c r="H36" s="52">
        <f t="shared" ca="1" si="0"/>
        <v>10</v>
      </c>
      <c r="I36" s="70">
        <f t="shared" ca="1" si="1"/>
        <v>0.25</v>
      </c>
      <c r="J36" s="58">
        <f t="shared" ca="1" si="6"/>
        <v>55796</v>
      </c>
      <c r="K36" s="57">
        <f t="shared" ca="1" si="7"/>
        <v>5.567198820085795E-3</v>
      </c>
      <c r="L36" s="53">
        <f t="shared" ca="1" si="2"/>
        <v>45027</v>
      </c>
      <c r="M36" s="53" t="s">
        <v>124</v>
      </c>
      <c r="N36" s="54">
        <f t="shared" ca="1" si="3"/>
        <v>45117</v>
      </c>
      <c r="O36" s="53" t="str">
        <f t="shared" ca="1" si="4"/>
        <v/>
      </c>
      <c r="P36" s="53" t="str">
        <f t="shared" ca="1" si="5"/>
        <v/>
      </c>
      <c r="Q36" s="55">
        <f t="shared" ca="1" si="8"/>
        <v>45117</v>
      </c>
    </row>
    <row r="37" spans="6:17" outlineLevel="1" x14ac:dyDescent="0.2">
      <c r="F37" s="20" t="s">
        <v>96</v>
      </c>
      <c r="G37" s="20" t="s">
        <v>97</v>
      </c>
      <c r="H37" s="52">
        <f t="shared" ca="1" si="0"/>
        <v>40</v>
      </c>
      <c r="I37" s="70">
        <f t="shared" ca="1" si="1"/>
        <v>1</v>
      </c>
      <c r="J37" s="58">
        <f t="shared" ca="1" si="6"/>
        <v>54104</v>
      </c>
      <c r="K37" s="57">
        <f t="shared" ca="1" si="7"/>
        <v>1.7218416575764506E-2</v>
      </c>
      <c r="L37" s="53">
        <f t="shared" ca="1" si="2"/>
        <v>45409</v>
      </c>
      <c r="M37" s="53" t="s">
        <v>124</v>
      </c>
      <c r="N37" s="54">
        <f t="shared" ca="1" si="3"/>
        <v>45499</v>
      </c>
      <c r="O37" s="53" t="str">
        <f t="shared" ca="1" si="4"/>
        <v/>
      </c>
      <c r="P37" s="53" t="str">
        <f t="shared" ca="1" si="5"/>
        <v/>
      </c>
      <c r="Q37" s="55">
        <f t="shared" ca="1" si="8"/>
        <v>45499</v>
      </c>
    </row>
    <row r="38" spans="6:17" outlineLevel="1" x14ac:dyDescent="0.2">
      <c r="F38" s="20" t="s">
        <v>108</v>
      </c>
      <c r="G38" s="20" t="s">
        <v>107</v>
      </c>
      <c r="H38" s="52">
        <f t="shared" ca="1" si="0"/>
        <v>40</v>
      </c>
      <c r="I38" s="70">
        <f t="shared" ca="1" si="1"/>
        <v>1</v>
      </c>
      <c r="J38" s="58">
        <f t="shared" ca="1" si="6"/>
        <v>43788</v>
      </c>
      <c r="K38" s="57">
        <f t="shared" ca="1" si="7"/>
        <v>3.1925520565992571E-2</v>
      </c>
      <c r="L38" s="53">
        <f t="shared" ca="1" si="2"/>
        <v>44047</v>
      </c>
      <c r="M38" s="53"/>
      <c r="N38" s="54" t="str">
        <f t="shared" si="3"/>
        <v/>
      </c>
      <c r="O38" s="53">
        <f t="shared" ca="1" si="4"/>
        <v>47008</v>
      </c>
      <c r="P38" s="53" t="str">
        <f t="shared" ca="1" si="5"/>
        <v/>
      </c>
      <c r="Q38" s="55">
        <f t="shared" ca="1" si="8"/>
        <v>47008</v>
      </c>
    </row>
    <row r="39" spans="6:17" outlineLevel="1" x14ac:dyDescent="0.2"/>
    <row r="40" spans="6:17" outlineLevel="1" x14ac:dyDescent="0.2">
      <c r="Q40" s="19" t="str">
        <f ca="1">IFERROR(_xlfn.FORMULATEXT(Q38),"")</f>
        <v>=IF(MAX(N38:P38)&gt;=L38,MAX(N38:P38),"N/A")</v>
      </c>
    </row>
    <row r="41" spans="6:17" outlineLevel="1" x14ac:dyDescent="0.2">
      <c r="P41" s="19"/>
    </row>
    <row r="42" spans="6:17" outlineLevel="1" x14ac:dyDescent="0.2">
      <c r="P42" s="19"/>
    </row>
  </sheetData>
  <sortState xmlns:xlrd2="http://schemas.microsoft.com/office/spreadsheetml/2017/richdata2" ref="F29:G38">
    <sortCondition ref="G29:G38"/>
  </sortState>
  <mergeCells count="1">
    <mergeCell ref="A3:E3"/>
  </mergeCells>
  <conditionalFormatting sqref="I4">
    <cfRule type="cellIs" dxfId="11" priority="1" operator="notEqual">
      <formula>0</formula>
    </cfRule>
  </conditionalFormatting>
  <dataValidations count="1">
    <dataValidation type="list" allowBlank="1" showInputMessage="1" showErrorMessage="1" sqref="M29:M38" xr:uid="{B8FED312-F407-444B-B2DE-8E504783D89E}">
      <formula1>LU_Yes_No</formula1>
    </dataValidation>
  </dataValidations>
  <hyperlinks>
    <hyperlink ref="A3:E3" location="HL_Navigator" tooltip="Go to Navigator (Table of Contents)" display="Navigator" xr:uid="{5E103E6C-A561-433C-A2DA-2EACF0E946C9}"/>
    <hyperlink ref="A3" location="HL_Navigator" display="Navigator" xr:uid="{1ACBDD7B-9D0F-431D-9C2E-5462EA08445B}"/>
    <hyperlink ref="I4" location="Overall_Error_Check" tooltip="Go to Overall Error Check" display="Overall_Error_Check" xr:uid="{FFAC9A95-837B-41C4-AE89-14D656AD6B6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7185B-E4F4-4EA9-B275-1C59F6845EDA}">
  <sheetPr codeName="Sheet7">
    <outlinePr summaryBelow="0"/>
  </sheetPr>
  <dimension ref="A1:AC102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outlineLevelRow="1" outlineLevelCol="1" x14ac:dyDescent="0.2"/>
  <cols>
    <col min="1" max="4" width="3.7109375" customWidth="1"/>
    <col min="5" max="5" width="17.42578125" bestFit="1" customWidth="1"/>
    <col min="6" max="6" width="15.85546875" bestFit="1" customWidth="1"/>
    <col min="7" max="7" width="14.28515625" bestFit="1" customWidth="1"/>
    <col min="8" max="8" width="12.7109375" customWidth="1"/>
    <col min="10" max="14" width="9.140625" customWidth="1"/>
    <col min="20" max="28" width="9.140625" hidden="1" customWidth="1" outlineLevel="1"/>
    <col min="29" max="29" width="9.140625" collapsed="1"/>
  </cols>
  <sheetData>
    <row r="1" spans="1:29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Staffing Summary</v>
      </c>
      <c r="I1" s="73"/>
      <c r="J1" s="73"/>
    </row>
    <row r="2" spans="1:29" ht="18" x14ac:dyDescent="0.25">
      <c r="A2" s="16" t="str">
        <f ca="1">Model_Name</f>
        <v>Chapter 3.3 - SP Pro-Rating Over Time Example.xlsx</v>
      </c>
    </row>
    <row r="3" spans="1:29" x14ac:dyDescent="0.2">
      <c r="A3" s="73" t="s">
        <v>1</v>
      </c>
      <c r="B3" s="73"/>
      <c r="C3" s="73"/>
      <c r="D3" s="73"/>
      <c r="E3" s="73"/>
    </row>
    <row r="4" spans="1:29" ht="14.25" x14ac:dyDescent="0.2">
      <c r="B4" t="s">
        <v>2</v>
      </c>
      <c r="G4" s="1">
        <f>Overall_Error_Check</f>
        <v>0</v>
      </c>
    </row>
    <row r="5" spans="1:29" x14ac:dyDescent="0.2">
      <c r="J5" s="39">
        <f ca="1">Timing!J5</f>
        <v>44196</v>
      </c>
      <c r="K5" s="39">
        <f ca="1">Timing!K5</f>
        <v>44561</v>
      </c>
      <c r="L5" s="39">
        <f ca="1">Timing!L5</f>
        <v>44926</v>
      </c>
      <c r="M5" s="39">
        <f ca="1">Timing!M5</f>
        <v>45291</v>
      </c>
      <c r="N5" s="39">
        <f ca="1">Timing!N5</f>
        <v>45657</v>
      </c>
      <c r="O5" s="39">
        <f ca="1">Timing!O5</f>
        <v>46022</v>
      </c>
      <c r="P5" s="39">
        <f ca="1">Timing!P5</f>
        <v>46387</v>
      </c>
      <c r="Q5" s="39">
        <f ca="1">Timing!Q5</f>
        <v>46752</v>
      </c>
      <c r="R5" s="39">
        <f ca="1">Timing!R5</f>
        <v>47118</v>
      </c>
      <c r="S5" s="39">
        <f ca="1">Timing!S5</f>
        <v>47483</v>
      </c>
    </row>
    <row r="6" spans="1:29" outlineLevel="1" x14ac:dyDescent="0.2">
      <c r="C6" t="str">
        <f>Timing!C6</f>
        <v>Start Date</v>
      </c>
      <c r="J6" s="38">
        <f ca="1">Timing!J6</f>
        <v>43831</v>
      </c>
      <c r="K6" s="38">
        <f ca="1">Timing!K6</f>
        <v>44197</v>
      </c>
      <c r="L6" s="38">
        <f ca="1">Timing!L6</f>
        <v>44562</v>
      </c>
      <c r="M6" s="38">
        <f ca="1">Timing!M6</f>
        <v>44927</v>
      </c>
      <c r="N6" s="38">
        <f ca="1">Timing!N6</f>
        <v>45292</v>
      </c>
      <c r="O6" s="38">
        <f ca="1">Timing!O6</f>
        <v>45658</v>
      </c>
      <c r="P6" s="38">
        <f ca="1">Timing!P6</f>
        <v>46023</v>
      </c>
      <c r="Q6" s="38">
        <f ca="1">Timing!Q6</f>
        <v>46388</v>
      </c>
      <c r="R6" s="38">
        <f ca="1">Timing!R6</f>
        <v>46753</v>
      </c>
      <c r="S6" s="38">
        <f ca="1">Timing!S6</f>
        <v>47119</v>
      </c>
    </row>
    <row r="7" spans="1:29" outlineLevel="1" x14ac:dyDescent="0.2">
      <c r="C7" t="str">
        <f>Timing!C7</f>
        <v>End Date</v>
      </c>
      <c r="J7" s="38">
        <f ca="1">Timing!J7</f>
        <v>44196</v>
      </c>
      <c r="K7" s="38">
        <f ca="1">Timing!K7</f>
        <v>44561</v>
      </c>
      <c r="L7" s="38">
        <f ca="1">Timing!L7</f>
        <v>44926</v>
      </c>
      <c r="M7" s="38">
        <f ca="1">Timing!M7</f>
        <v>45291</v>
      </c>
      <c r="N7" s="38">
        <f ca="1">Timing!N7</f>
        <v>45657</v>
      </c>
      <c r="O7" s="38">
        <f ca="1">Timing!O7</f>
        <v>46022</v>
      </c>
      <c r="P7" s="38">
        <f ca="1">Timing!P7</f>
        <v>46387</v>
      </c>
      <c r="Q7" s="38">
        <f ca="1">Timing!Q7</f>
        <v>46752</v>
      </c>
      <c r="R7" s="38">
        <f ca="1">Timing!R7</f>
        <v>47118</v>
      </c>
      <c r="S7" s="38">
        <f ca="1">Timing!S7</f>
        <v>47483</v>
      </c>
    </row>
    <row r="8" spans="1:29" outlineLevel="1" x14ac:dyDescent="0.2">
      <c r="C8" t="str">
        <f>Timing!C8</f>
        <v>Number of Days</v>
      </c>
      <c r="J8" s="34">
        <f ca="1">Timing!J8</f>
        <v>366</v>
      </c>
      <c r="K8" s="34">
        <f ca="1">Timing!K8</f>
        <v>365</v>
      </c>
      <c r="L8" s="34">
        <f ca="1">Timing!L8</f>
        <v>365</v>
      </c>
      <c r="M8" s="34">
        <f ca="1">Timing!M8</f>
        <v>365</v>
      </c>
      <c r="N8" s="34">
        <f ca="1">Timing!N8</f>
        <v>366</v>
      </c>
      <c r="O8" s="34">
        <f ca="1">Timing!O8</f>
        <v>365</v>
      </c>
      <c r="P8" s="34">
        <f ca="1">Timing!P8</f>
        <v>365</v>
      </c>
      <c r="Q8" s="34">
        <f ca="1">Timing!Q8</f>
        <v>365</v>
      </c>
      <c r="R8" s="34">
        <f ca="1">Timing!R8</f>
        <v>366</v>
      </c>
      <c r="S8" s="34">
        <f ca="1">Timing!S8</f>
        <v>365</v>
      </c>
    </row>
    <row r="9" spans="1:29" outlineLevel="1" x14ac:dyDescent="0.2">
      <c r="C9" t="str">
        <f>Timing!C9</f>
        <v>Counter</v>
      </c>
      <c r="J9" s="34">
        <f>Timing!J9</f>
        <v>1</v>
      </c>
      <c r="K9" s="34">
        <f>Timing!K9</f>
        <v>2</v>
      </c>
      <c r="L9" s="34">
        <f>Timing!L9</f>
        <v>3</v>
      </c>
      <c r="M9" s="34">
        <f>Timing!M9</f>
        <v>4</v>
      </c>
      <c r="N9" s="34">
        <f>Timing!N9</f>
        <v>5</v>
      </c>
      <c r="O9" s="34">
        <f>Timing!O9</f>
        <v>6</v>
      </c>
      <c r="P9" s="34">
        <f>Timing!P9</f>
        <v>7</v>
      </c>
      <c r="Q9" s="34">
        <f>Timing!Q9</f>
        <v>8</v>
      </c>
      <c r="R9" s="34">
        <f>Timing!R9</f>
        <v>9</v>
      </c>
      <c r="S9" s="34">
        <f>Timing!S9</f>
        <v>10</v>
      </c>
    </row>
    <row r="10" spans="1:29" x14ac:dyDescent="0.2">
      <c r="A10" s="11"/>
    </row>
    <row r="11" spans="1:29" ht="16.5" thickBot="1" x14ac:dyDescent="0.3">
      <c r="B11" s="43">
        <f>MAX($B$10:$B10)+1</f>
        <v>1</v>
      </c>
      <c r="C11" s="41" t="s">
        <v>119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2.75" outlineLevel="1" thickTop="1" x14ac:dyDescent="0.2"/>
    <row r="13" spans="1:29" ht="16.5" outlineLevel="1" x14ac:dyDescent="0.25">
      <c r="C13" s="3" t="s">
        <v>82</v>
      </c>
    </row>
    <row r="14" spans="1:29" outlineLevel="1" x14ac:dyDescent="0.2"/>
    <row r="15" spans="1:29" ht="15" outlineLevel="1" x14ac:dyDescent="0.25">
      <c r="D15" s="4" t="s">
        <v>120</v>
      </c>
    </row>
    <row r="16" spans="1:29" outlineLevel="1" x14ac:dyDescent="0.2"/>
    <row r="17" spans="2:29" outlineLevel="1" x14ac:dyDescent="0.2">
      <c r="E17" s="13" t="s">
        <v>130</v>
      </c>
      <c r="F17" s="13" t="str">
        <f>'Staffing Assumptions'!L28</f>
        <v>Start Date</v>
      </c>
      <c r="G17" s="13" t="str">
        <f>'Staffing Assumptions'!O28</f>
        <v>End Date</v>
      </c>
      <c r="H17" s="13" t="str">
        <f>'Staffing Assumptions'!I28</f>
        <v>FTE Rate</v>
      </c>
    </row>
    <row r="18" spans="2:29" outlineLevel="1" x14ac:dyDescent="0.2">
      <c r="E18" t="str">
        <f>'Staffing Assumptions'!F29&amp;" "&amp;'Staffing Assumptions'!G29</f>
        <v>Sally Army</v>
      </c>
      <c r="F18" s="59">
        <f ca="1">'Staffing Assumptions'!L29</f>
        <v>45085</v>
      </c>
      <c r="G18" s="59">
        <f ca="1">'Staffing Assumptions'!Q29</f>
        <v>47458</v>
      </c>
      <c r="H18" s="61">
        <f ca="1">'Staffing Assumptions'!I29</f>
        <v>1</v>
      </c>
      <c r="J18" s="60">
        <f ca="1">MAX(MIN(J$7,$G18)-MAX(J$6,$F18)+1,0)*$H18/J$8</f>
        <v>0</v>
      </c>
      <c r="K18" s="60">
        <f t="shared" ref="K18:S18" ca="1" si="0">MAX(MIN(K$7,$G18)-MAX(K$6,$F18)+1,0)*$H18/K$8</f>
        <v>0</v>
      </c>
      <c r="L18" s="60">
        <f t="shared" ca="1" si="0"/>
        <v>0</v>
      </c>
      <c r="M18" s="60">
        <f t="shared" ca="1" si="0"/>
        <v>0.56712328767123288</v>
      </c>
      <c r="N18" s="60">
        <f t="shared" ca="1" si="0"/>
        <v>1</v>
      </c>
      <c r="O18" s="60">
        <f t="shared" ca="1" si="0"/>
        <v>1</v>
      </c>
      <c r="P18" s="60">
        <f t="shared" ca="1" si="0"/>
        <v>1</v>
      </c>
      <c r="Q18" s="60">
        <f t="shared" ca="1" si="0"/>
        <v>1</v>
      </c>
      <c r="R18" s="60">
        <f t="shared" ca="1" si="0"/>
        <v>1</v>
      </c>
      <c r="S18" s="60">
        <f t="shared" ca="1" si="0"/>
        <v>0.93150684931506844</v>
      </c>
      <c r="U18" s="19" t="str">
        <f ca="1">IFERROR(_xlfn.FORMULATEXT(J18),"")</f>
        <v>=MAX(MIN(J$7,$G18)-MAX(J$6,$F18)+1,0)*$H18/J$8</v>
      </c>
    </row>
    <row r="19" spans="2:29" outlineLevel="1" x14ac:dyDescent="0.2">
      <c r="E19" t="str">
        <f>'Staffing Assumptions'!F30&amp;" "&amp;'Staffing Assumptions'!G30</f>
        <v>Whitney Bay</v>
      </c>
      <c r="F19" s="59">
        <f ca="1">'Staffing Assumptions'!L30</f>
        <v>44022</v>
      </c>
      <c r="G19" s="59">
        <f ca="1">'Staffing Assumptions'!Q30</f>
        <v>47735</v>
      </c>
      <c r="H19" s="61">
        <f ca="1">'Staffing Assumptions'!I30</f>
        <v>0.2</v>
      </c>
      <c r="J19" s="60">
        <f t="shared" ref="J19:S26" ca="1" si="1">MAX(MIN(J$7,$G19)-MAX(J$6,$F19)+1,0)*$H19/J$8</f>
        <v>9.5628415300546443E-2</v>
      </c>
      <c r="K19" s="60">
        <f t="shared" ca="1" si="1"/>
        <v>0.2</v>
      </c>
      <c r="L19" s="60">
        <f t="shared" ca="1" si="1"/>
        <v>0.2</v>
      </c>
      <c r="M19" s="60">
        <f t="shared" ca="1" si="1"/>
        <v>0.2</v>
      </c>
      <c r="N19" s="60">
        <f t="shared" ca="1" si="1"/>
        <v>0.2</v>
      </c>
      <c r="O19" s="60">
        <f t="shared" ca="1" si="1"/>
        <v>0.2</v>
      </c>
      <c r="P19" s="60">
        <f t="shared" ca="1" si="1"/>
        <v>0.2</v>
      </c>
      <c r="Q19" s="60">
        <f t="shared" ca="1" si="1"/>
        <v>0.2</v>
      </c>
      <c r="R19" s="60">
        <f t="shared" ca="1" si="1"/>
        <v>0.2</v>
      </c>
      <c r="S19" s="60">
        <f t="shared" ca="1" si="1"/>
        <v>0.2</v>
      </c>
      <c r="U19" s="19" t="str">
        <f t="shared" ref="U19:U28" ca="1" si="2">IFERROR(_xlfn.FORMULATEXT(J19),"")</f>
        <v>=MAX(MIN(J$7,$G19)-MAX(J$6,$F19)+1,0)*$H19/J$8</v>
      </c>
    </row>
    <row r="20" spans="2:29" outlineLevel="1" x14ac:dyDescent="0.2">
      <c r="E20" t="str">
        <f>'Staffing Assumptions'!F31&amp;" "&amp;'Staffing Assumptions'!G31</f>
        <v>Wendy Boatcomesin</v>
      </c>
      <c r="F20" s="59">
        <f ca="1">'Staffing Assumptions'!L31</f>
        <v>45382</v>
      </c>
      <c r="G20" s="59">
        <f ca="1">'Staffing Assumptions'!Q31</f>
        <v>49293</v>
      </c>
      <c r="H20" s="61">
        <f ca="1">'Staffing Assumptions'!I31</f>
        <v>1</v>
      </c>
      <c r="J20" s="60">
        <f t="shared" ca="1" si="1"/>
        <v>0</v>
      </c>
      <c r="K20" s="60">
        <f t="shared" ca="1" si="1"/>
        <v>0</v>
      </c>
      <c r="L20" s="60">
        <f t="shared" ca="1" si="1"/>
        <v>0</v>
      </c>
      <c r="M20" s="60">
        <f t="shared" ca="1" si="1"/>
        <v>0</v>
      </c>
      <c r="N20" s="60">
        <f t="shared" ca="1" si="1"/>
        <v>0.75409836065573765</v>
      </c>
      <c r="O20" s="60">
        <f t="shared" ca="1" si="1"/>
        <v>1</v>
      </c>
      <c r="P20" s="60">
        <f t="shared" ca="1" si="1"/>
        <v>1</v>
      </c>
      <c r="Q20" s="60">
        <f t="shared" ca="1" si="1"/>
        <v>1</v>
      </c>
      <c r="R20" s="60">
        <f t="shared" ca="1" si="1"/>
        <v>1</v>
      </c>
      <c r="S20" s="60">
        <f t="shared" ca="1" si="1"/>
        <v>1</v>
      </c>
      <c r="U20" s="19" t="str">
        <f t="shared" ca="1" si="2"/>
        <v>=MAX(MIN(J$7,$G20)-MAX(J$6,$F20)+1,0)*$H20/J$8</v>
      </c>
    </row>
    <row r="21" spans="2:29" outlineLevel="1" x14ac:dyDescent="0.2">
      <c r="E21" t="str">
        <f>'Staffing Assumptions'!F32&amp;" "&amp;'Staffing Assumptions'!G32</f>
        <v>Brianna Cracker</v>
      </c>
      <c r="F21" s="59">
        <f ca="1">'Staffing Assumptions'!L32</f>
        <v>44778</v>
      </c>
      <c r="G21" s="59" t="str">
        <f ca="1">'Staffing Assumptions'!Q32</f>
        <v>N/A</v>
      </c>
      <c r="H21" s="61">
        <f ca="1">'Staffing Assumptions'!I32</f>
        <v>0.875</v>
      </c>
      <c r="J21" s="60">
        <f t="shared" ca="1" si="1"/>
        <v>0</v>
      </c>
      <c r="K21" s="60">
        <f t="shared" ca="1" si="1"/>
        <v>0</v>
      </c>
      <c r="L21" s="60">
        <f t="shared" ca="1" si="1"/>
        <v>0.35719178082191783</v>
      </c>
      <c r="M21" s="60">
        <f t="shared" ca="1" si="1"/>
        <v>0.875</v>
      </c>
      <c r="N21" s="60">
        <f t="shared" ca="1" si="1"/>
        <v>0.875</v>
      </c>
      <c r="O21" s="60">
        <f t="shared" ca="1" si="1"/>
        <v>0.875</v>
      </c>
      <c r="P21" s="60">
        <f t="shared" ca="1" si="1"/>
        <v>0.875</v>
      </c>
      <c r="Q21" s="60">
        <f t="shared" ca="1" si="1"/>
        <v>0.875</v>
      </c>
      <c r="R21" s="60">
        <f t="shared" ca="1" si="1"/>
        <v>0.875</v>
      </c>
      <c r="S21" s="60">
        <f t="shared" ca="1" si="1"/>
        <v>0.875</v>
      </c>
      <c r="U21" s="19" t="str">
        <f t="shared" ca="1" si="2"/>
        <v>=MAX(MIN(J$7,$G21)-MAX(J$6,$F21)+1,0)*$H21/J$8</v>
      </c>
    </row>
    <row r="22" spans="2:29" outlineLevel="1" x14ac:dyDescent="0.2">
      <c r="E22" t="str">
        <f>'Staffing Assumptions'!F33&amp;" "&amp;'Staffing Assumptions'!G33</f>
        <v>Mae June</v>
      </c>
      <c r="F22" s="59">
        <f ca="1">'Staffing Assumptions'!L33</f>
        <v>43557</v>
      </c>
      <c r="G22" s="59" t="str">
        <f ca="1">'Staffing Assumptions'!Q33</f>
        <v>N/A</v>
      </c>
      <c r="H22" s="61">
        <f ca="1">'Staffing Assumptions'!I33</f>
        <v>1</v>
      </c>
      <c r="J22" s="60">
        <f t="shared" ca="1" si="1"/>
        <v>1</v>
      </c>
      <c r="K22" s="60">
        <f t="shared" ca="1" si="1"/>
        <v>1</v>
      </c>
      <c r="L22" s="60">
        <f t="shared" ca="1" si="1"/>
        <v>1</v>
      </c>
      <c r="M22" s="60">
        <f t="shared" ca="1" si="1"/>
        <v>1</v>
      </c>
      <c r="N22" s="60">
        <f t="shared" ca="1" si="1"/>
        <v>1</v>
      </c>
      <c r="O22" s="60">
        <f t="shared" ca="1" si="1"/>
        <v>1</v>
      </c>
      <c r="P22" s="60">
        <f t="shared" ca="1" si="1"/>
        <v>1</v>
      </c>
      <c r="Q22" s="60">
        <f t="shared" ca="1" si="1"/>
        <v>1</v>
      </c>
      <c r="R22" s="60">
        <f t="shared" ca="1" si="1"/>
        <v>1</v>
      </c>
      <c r="S22" s="60">
        <f t="shared" ca="1" si="1"/>
        <v>1</v>
      </c>
      <c r="U22" s="19" t="str">
        <f t="shared" ca="1" si="2"/>
        <v>=MAX(MIN(J$7,$G22)-MAX(J$6,$F22)+1,0)*$H22/J$8</v>
      </c>
    </row>
    <row r="23" spans="2:29" outlineLevel="1" x14ac:dyDescent="0.2">
      <c r="E23" t="str">
        <f>'Staffing Assumptions'!F34&amp;" "&amp;'Staffing Assumptions'!G34</f>
        <v>Jerry Kann</v>
      </c>
      <c r="F23" s="59">
        <f ca="1">'Staffing Assumptions'!L34</f>
        <v>43836</v>
      </c>
      <c r="G23" s="59">
        <f ca="1">'Staffing Assumptions'!Q34</f>
        <v>44653</v>
      </c>
      <c r="H23" s="61">
        <f ca="1">'Staffing Assumptions'!I34</f>
        <v>1</v>
      </c>
      <c r="J23" s="60">
        <f t="shared" ca="1" si="1"/>
        <v>0.98633879781420764</v>
      </c>
      <c r="K23" s="60">
        <f t="shared" ca="1" si="1"/>
        <v>1</v>
      </c>
      <c r="L23" s="60">
        <f t="shared" ca="1" si="1"/>
        <v>0.25205479452054796</v>
      </c>
      <c r="M23" s="60">
        <f t="shared" ca="1" si="1"/>
        <v>0</v>
      </c>
      <c r="N23" s="60">
        <f t="shared" ca="1" si="1"/>
        <v>0</v>
      </c>
      <c r="O23" s="60">
        <f t="shared" ca="1" si="1"/>
        <v>0</v>
      </c>
      <c r="P23" s="60">
        <f t="shared" ca="1" si="1"/>
        <v>0</v>
      </c>
      <c r="Q23" s="60">
        <f t="shared" ca="1" si="1"/>
        <v>0</v>
      </c>
      <c r="R23" s="60">
        <f t="shared" ca="1" si="1"/>
        <v>0</v>
      </c>
      <c r="S23" s="60">
        <f t="shared" ca="1" si="1"/>
        <v>0</v>
      </c>
      <c r="U23" s="19" t="str">
        <f t="shared" ca="1" si="2"/>
        <v>=MAX(MIN(J$7,$G23)-MAX(J$6,$F23)+1,0)*$H23/J$8</v>
      </c>
    </row>
    <row r="24" spans="2:29" outlineLevel="1" x14ac:dyDescent="0.2">
      <c r="E24" t="str">
        <f>'Staffing Assumptions'!F35&amp;" "&amp;'Staffing Assumptions'!G35</f>
        <v>Bob Katt</v>
      </c>
      <c r="F24" s="59">
        <f ca="1">'Staffing Assumptions'!L35</f>
        <v>45649</v>
      </c>
      <c r="G24" s="59">
        <f ca="1">'Staffing Assumptions'!Q35</f>
        <v>51159</v>
      </c>
      <c r="H24" s="61">
        <f ca="1">'Staffing Assumptions'!I35</f>
        <v>1</v>
      </c>
      <c r="J24" s="60">
        <f t="shared" ca="1" si="1"/>
        <v>0</v>
      </c>
      <c r="K24" s="60">
        <f t="shared" ca="1" si="1"/>
        <v>0</v>
      </c>
      <c r="L24" s="60">
        <f t="shared" ca="1" si="1"/>
        <v>0</v>
      </c>
      <c r="M24" s="60">
        <f t="shared" ca="1" si="1"/>
        <v>0</v>
      </c>
      <c r="N24" s="60">
        <f t="shared" ca="1" si="1"/>
        <v>2.4590163934426229E-2</v>
      </c>
      <c r="O24" s="60">
        <f t="shared" ca="1" si="1"/>
        <v>1</v>
      </c>
      <c r="P24" s="60">
        <f t="shared" ca="1" si="1"/>
        <v>1</v>
      </c>
      <c r="Q24" s="60">
        <f t="shared" ca="1" si="1"/>
        <v>1</v>
      </c>
      <c r="R24" s="60">
        <f t="shared" ca="1" si="1"/>
        <v>1</v>
      </c>
      <c r="S24" s="60">
        <f t="shared" ca="1" si="1"/>
        <v>1</v>
      </c>
      <c r="U24" s="19" t="str">
        <f t="shared" ca="1" si="2"/>
        <v>=MAX(MIN(J$7,$G24)-MAX(J$6,$F24)+1,0)*$H24/J$8</v>
      </c>
    </row>
    <row r="25" spans="2:29" outlineLevel="1" x14ac:dyDescent="0.2">
      <c r="E25" t="str">
        <f>'Staffing Assumptions'!F36&amp;" "&amp;'Staffing Assumptions'!G36</f>
        <v>Ray O'Lyte</v>
      </c>
      <c r="F25" s="59">
        <f ca="1">'Staffing Assumptions'!L36</f>
        <v>45027</v>
      </c>
      <c r="G25" s="59">
        <f ca="1">'Staffing Assumptions'!Q36</f>
        <v>45117</v>
      </c>
      <c r="H25" s="61">
        <f ca="1">'Staffing Assumptions'!I36</f>
        <v>0.25</v>
      </c>
      <c r="J25" s="60">
        <f t="shared" ca="1" si="1"/>
        <v>0</v>
      </c>
      <c r="K25" s="60">
        <f t="shared" ca="1" si="1"/>
        <v>0</v>
      </c>
      <c r="L25" s="60">
        <f t="shared" ca="1" si="1"/>
        <v>0</v>
      </c>
      <c r="M25" s="60">
        <f t="shared" ca="1" si="1"/>
        <v>6.2328767123287672E-2</v>
      </c>
      <c r="N25" s="60">
        <f t="shared" ca="1" si="1"/>
        <v>0</v>
      </c>
      <c r="O25" s="60">
        <f t="shared" ca="1" si="1"/>
        <v>0</v>
      </c>
      <c r="P25" s="60">
        <f t="shared" ca="1" si="1"/>
        <v>0</v>
      </c>
      <c r="Q25" s="60">
        <f t="shared" ca="1" si="1"/>
        <v>0</v>
      </c>
      <c r="R25" s="60">
        <f t="shared" ca="1" si="1"/>
        <v>0</v>
      </c>
      <c r="S25" s="60">
        <f t="shared" ca="1" si="1"/>
        <v>0</v>
      </c>
      <c r="U25" s="19" t="str">
        <f t="shared" ca="1" si="2"/>
        <v>=MAX(MIN(J$7,$G25)-MAX(J$6,$F25)+1,0)*$H25/J$8</v>
      </c>
    </row>
    <row r="26" spans="2:29" outlineLevel="1" x14ac:dyDescent="0.2">
      <c r="E26" t="str">
        <f>'Staffing Assumptions'!F37&amp;" "&amp;'Staffing Assumptions'!G37</f>
        <v>Lou Seat</v>
      </c>
      <c r="F26" s="59">
        <f ca="1">'Staffing Assumptions'!L37</f>
        <v>45409</v>
      </c>
      <c r="G26" s="59">
        <f ca="1">'Staffing Assumptions'!Q37</f>
        <v>45499</v>
      </c>
      <c r="H26" s="61">
        <f ca="1">'Staffing Assumptions'!I37</f>
        <v>1</v>
      </c>
      <c r="J26" s="60">
        <f t="shared" ca="1" si="1"/>
        <v>0</v>
      </c>
      <c r="K26" s="60">
        <f t="shared" ca="1" si="1"/>
        <v>0</v>
      </c>
      <c r="L26" s="60">
        <f t="shared" ca="1" si="1"/>
        <v>0</v>
      </c>
      <c r="M26" s="60">
        <f t="shared" ca="1" si="1"/>
        <v>0</v>
      </c>
      <c r="N26" s="60">
        <f t="shared" ca="1" si="1"/>
        <v>0.24863387978142076</v>
      </c>
      <c r="O26" s="60">
        <f t="shared" ca="1" si="1"/>
        <v>0</v>
      </c>
      <c r="P26" s="60">
        <f t="shared" ca="1" si="1"/>
        <v>0</v>
      </c>
      <c r="Q26" s="60">
        <f t="shared" ca="1" si="1"/>
        <v>0</v>
      </c>
      <c r="R26" s="60">
        <f t="shared" ca="1" si="1"/>
        <v>0</v>
      </c>
      <c r="S26" s="60">
        <f t="shared" ca="1" si="1"/>
        <v>0</v>
      </c>
      <c r="U26" s="19" t="str">
        <f t="shared" ca="1" si="2"/>
        <v>=MAX(MIN(J$7,$G26)-MAX(J$6,$F26)+1,0)*$H26/J$8</v>
      </c>
    </row>
    <row r="27" spans="2:29" outlineLevel="1" x14ac:dyDescent="0.2">
      <c r="U27" s="19"/>
    </row>
    <row r="28" spans="2:29" ht="12.75" outlineLevel="1" thickBot="1" x14ac:dyDescent="0.25">
      <c r="E28" s="62" t="s">
        <v>133</v>
      </c>
      <c r="J28" s="63">
        <f ca="1">SUM(J18:J26)</f>
        <v>2.081967213114754</v>
      </c>
      <c r="K28" s="63">
        <f t="shared" ref="K28:S28" ca="1" si="3">SUM(K18:K26)</f>
        <v>2.2000000000000002</v>
      </c>
      <c r="L28" s="63">
        <f t="shared" ca="1" si="3"/>
        <v>1.8092465753424658</v>
      </c>
      <c r="M28" s="63">
        <f t="shared" ca="1" si="3"/>
        <v>2.7044520547945203</v>
      </c>
      <c r="N28" s="63">
        <f t="shared" ca="1" si="3"/>
        <v>4.1023224043715842</v>
      </c>
      <c r="O28" s="63">
        <f t="shared" ca="1" si="3"/>
        <v>5.0750000000000002</v>
      </c>
      <c r="P28" s="63">
        <f t="shared" ca="1" si="3"/>
        <v>5.0750000000000002</v>
      </c>
      <c r="Q28" s="63">
        <f t="shared" ca="1" si="3"/>
        <v>5.0750000000000002</v>
      </c>
      <c r="R28" s="63">
        <f t="shared" ca="1" si="3"/>
        <v>5.0750000000000002</v>
      </c>
      <c r="S28" s="63">
        <f t="shared" ca="1" si="3"/>
        <v>5.006506849315068</v>
      </c>
      <c r="U28" s="19" t="str">
        <f t="shared" ca="1" si="2"/>
        <v>=SUM(J18:J26)</v>
      </c>
    </row>
    <row r="29" spans="2:29" ht="12.75" outlineLevel="1" thickTop="1" x14ac:dyDescent="0.2"/>
    <row r="30" spans="2:29" outlineLevel="1" x14ac:dyDescent="0.2"/>
    <row r="31" spans="2:29" ht="16.5" thickBot="1" x14ac:dyDescent="0.3">
      <c r="B31" s="43">
        <f>MAX($B$10:$B30)+1</f>
        <v>2</v>
      </c>
      <c r="C31" s="41" t="s">
        <v>134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2:29" ht="12.75" outlineLevel="1" thickTop="1" x14ac:dyDescent="0.2"/>
    <row r="33" spans="3:21" ht="16.5" outlineLevel="1" x14ac:dyDescent="0.25">
      <c r="C33" s="3" t="s">
        <v>82</v>
      </c>
    </row>
    <row r="34" spans="3:21" outlineLevel="1" x14ac:dyDescent="0.2"/>
    <row r="35" spans="3:21" ht="15" outlineLevel="1" x14ac:dyDescent="0.25">
      <c r="D35" s="4" t="s">
        <v>135</v>
      </c>
    </row>
    <row r="36" spans="3:21" outlineLevel="1" x14ac:dyDescent="0.2"/>
    <row r="37" spans="3:21" outlineLevel="1" x14ac:dyDescent="0.2">
      <c r="E37" s="13" t="str">
        <f>E17</f>
        <v>Name</v>
      </c>
    </row>
    <row r="38" spans="3:21" outlineLevel="1" x14ac:dyDescent="0.2">
      <c r="E38" t="str">
        <f>E18</f>
        <v>Sally Army</v>
      </c>
      <c r="J38" s="67">
        <f ca="1">IF(AND(I18=0,J18&lt;&gt;0),1,IF(J18&lt;&gt;0,I38+(COUNTIF($I38:I38,I38)=(Months_in_Year/Periodicity))*1,))</f>
        <v>0</v>
      </c>
      <c r="K38" s="67">
        <f ca="1">IF(AND(J18=0,K18&lt;&gt;0),1,IF(K18&lt;&gt;0,J38+(COUNTIF($I38:J38,J38)=(Months_in_Year/Periodicity))*1,))</f>
        <v>0</v>
      </c>
      <c r="L38" s="67">
        <f ca="1">IF(AND(K18=0,L18&lt;&gt;0),1,IF(L18&lt;&gt;0,K38+(COUNTIF($I38:K38,K38)=(Months_in_Year/Periodicity))*1,))</f>
        <v>0</v>
      </c>
      <c r="M38" s="67">
        <f ca="1">IF(AND(L18=0,M18&lt;&gt;0),1,IF(M18&lt;&gt;0,L38+(COUNTIF($I38:L38,L38)=(Months_in_Year/Periodicity))*1,))</f>
        <v>1</v>
      </c>
      <c r="N38" s="67">
        <f ca="1">IF(AND(M18=0,N18&lt;&gt;0),1,IF(N18&lt;&gt;0,M38+(COUNTIF($I38:M38,M38)=(Months_in_Year/Periodicity))*1,))</f>
        <v>2</v>
      </c>
      <c r="O38" s="67">
        <f ca="1">IF(AND(N18=0,O18&lt;&gt;0),1,IF(O18&lt;&gt;0,N38+(COUNTIF($I38:N38,N38)=(Months_in_Year/Periodicity))*1,))</f>
        <v>3</v>
      </c>
      <c r="P38" s="67">
        <f ca="1">IF(AND(O18=0,P18&lt;&gt;0),1,IF(P18&lt;&gt;0,O38+(COUNTIF($I38:O38,O38)=(Months_in_Year/Periodicity))*1,))</f>
        <v>4</v>
      </c>
      <c r="Q38" s="67">
        <f ca="1">IF(AND(P18=0,Q18&lt;&gt;0),1,IF(Q18&lt;&gt;0,P38+(COUNTIF($I38:P38,P38)=(Months_in_Year/Periodicity))*1,))</f>
        <v>5</v>
      </c>
      <c r="R38" s="67">
        <f ca="1">IF(AND(Q18=0,R18&lt;&gt;0),1,IF(R18&lt;&gt;0,Q38+(COUNTIF($I38:Q38,Q38)=(Months_in_Year/Periodicity))*1,))</f>
        <v>6</v>
      </c>
      <c r="S38" s="67">
        <f ca="1">IF(AND(R18=0,S18&lt;&gt;0),1,IF(S18&lt;&gt;0,R38+(COUNTIF($I38:R38,R38)=(Months_in_Year/Periodicity))*1,))</f>
        <v>7</v>
      </c>
      <c r="U38" s="19" t="str">
        <f ca="1">IFERROR(_xlfn.FORMULATEXT(J38),"")</f>
        <v>=IF(AND(I18=0,J18&lt;&gt;0),1,IF(J18&lt;&gt;0,I38+(COUNTIF($I38:I38,I38)=(Months_in_Year/Periodicity))*1,))</v>
      </c>
    </row>
    <row r="39" spans="3:21" outlineLevel="1" x14ac:dyDescent="0.2">
      <c r="E39" t="str">
        <f t="shared" ref="E39:E46" si="4">E19</f>
        <v>Whitney Bay</v>
      </c>
      <c r="J39" s="67">
        <f ca="1">IF(AND(I19=0,J19&lt;&gt;0),1,IF(J19&lt;&gt;0,I39+(COUNTIF($I39:I39,I39)=(Months_in_Year/Periodicity))*1,))</f>
        <v>1</v>
      </c>
      <c r="K39" s="67">
        <f ca="1">IF(AND(J19=0,K19&lt;&gt;0),1,IF(K19&lt;&gt;0,J39+(COUNTIF($I39:J39,J39)=(Months_in_Year/Periodicity))*1,))</f>
        <v>2</v>
      </c>
      <c r="L39" s="67">
        <f ca="1">IF(AND(K19=0,L19&lt;&gt;0),1,IF(L19&lt;&gt;0,K39+(COUNTIF($I39:K39,K39)=(Months_in_Year/Periodicity))*1,))</f>
        <v>3</v>
      </c>
      <c r="M39" s="67">
        <f ca="1">IF(AND(L19=0,M19&lt;&gt;0),1,IF(M19&lt;&gt;0,L39+(COUNTIF($I39:L39,L39)=(Months_in_Year/Periodicity))*1,))</f>
        <v>4</v>
      </c>
      <c r="N39" s="67">
        <f ca="1">IF(AND(M19=0,N19&lt;&gt;0),1,IF(N19&lt;&gt;0,M39+(COUNTIF($I39:M39,M39)=(Months_in_Year/Periodicity))*1,))</f>
        <v>5</v>
      </c>
      <c r="O39" s="67">
        <f ca="1">IF(AND(N19=0,O19&lt;&gt;0),1,IF(O19&lt;&gt;0,N39+(COUNTIF($I39:N39,N39)=(Months_in_Year/Periodicity))*1,))</f>
        <v>6</v>
      </c>
      <c r="P39" s="67">
        <f ca="1">IF(AND(O19=0,P19&lt;&gt;0),1,IF(P19&lt;&gt;0,O39+(COUNTIF($I39:O39,O39)=(Months_in_Year/Periodicity))*1,))</f>
        <v>7</v>
      </c>
      <c r="Q39" s="67">
        <f ca="1">IF(AND(P19=0,Q19&lt;&gt;0),1,IF(Q19&lt;&gt;0,P39+(COUNTIF($I39:P39,P39)=(Months_in_Year/Periodicity))*1,))</f>
        <v>8</v>
      </c>
      <c r="R39" s="67">
        <f ca="1">IF(AND(Q19=0,R19&lt;&gt;0),1,IF(R19&lt;&gt;0,Q39+(COUNTIF($I39:Q39,Q39)=(Months_in_Year/Periodicity))*1,))</f>
        <v>9</v>
      </c>
      <c r="S39" s="67">
        <f ca="1">IF(AND(R19=0,S19&lt;&gt;0),1,IF(S19&lt;&gt;0,R39+(COUNTIF($I39:R39,R39)=(Months_in_Year/Periodicity))*1,))</f>
        <v>10</v>
      </c>
      <c r="U39" s="19" t="str">
        <f t="shared" ref="U39:U98" ca="1" si="5">IFERROR(_xlfn.FORMULATEXT(J39),"")</f>
        <v>=IF(AND(I19=0,J19&lt;&gt;0),1,IF(J19&lt;&gt;0,I39+(COUNTIF($I39:I39,I39)=(Months_in_Year/Periodicity))*1,))</v>
      </c>
    </row>
    <row r="40" spans="3:21" outlineLevel="1" x14ac:dyDescent="0.2">
      <c r="E40" t="str">
        <f t="shared" si="4"/>
        <v>Wendy Boatcomesin</v>
      </c>
      <c r="J40" s="67">
        <f ca="1">IF(AND(I20=0,J20&lt;&gt;0),1,IF(J20&lt;&gt;0,I40+(COUNTIF($I40:I40,I40)=(Months_in_Year/Periodicity))*1,))</f>
        <v>0</v>
      </c>
      <c r="K40" s="67">
        <f ca="1">IF(AND(J20=0,K20&lt;&gt;0),1,IF(K20&lt;&gt;0,J40+(COUNTIF($I40:J40,J40)=(Months_in_Year/Periodicity))*1,))</f>
        <v>0</v>
      </c>
      <c r="L40" s="67">
        <f ca="1">IF(AND(K20=0,L20&lt;&gt;0),1,IF(L20&lt;&gt;0,K40+(COUNTIF($I40:K40,K40)=(Months_in_Year/Periodicity))*1,))</f>
        <v>0</v>
      </c>
      <c r="M40" s="67">
        <f ca="1">IF(AND(L20=0,M20&lt;&gt;0),1,IF(M20&lt;&gt;0,L40+(COUNTIF($I40:L40,L40)=(Months_in_Year/Periodicity))*1,))</f>
        <v>0</v>
      </c>
      <c r="N40" s="67">
        <f ca="1">IF(AND(M20=0,N20&lt;&gt;0),1,IF(N20&lt;&gt;0,M40+(COUNTIF($I40:M40,M40)=(Months_in_Year/Periodicity))*1,))</f>
        <v>1</v>
      </c>
      <c r="O40" s="67">
        <f ca="1">IF(AND(N20=0,O20&lt;&gt;0),1,IF(O20&lt;&gt;0,N40+(COUNTIF($I40:N40,N40)=(Months_in_Year/Periodicity))*1,))</f>
        <v>2</v>
      </c>
      <c r="P40" s="67">
        <f ca="1">IF(AND(O20=0,P20&lt;&gt;0),1,IF(P20&lt;&gt;0,O40+(COUNTIF($I40:O40,O40)=(Months_in_Year/Periodicity))*1,))</f>
        <v>3</v>
      </c>
      <c r="Q40" s="67">
        <f ca="1">IF(AND(P20=0,Q20&lt;&gt;0),1,IF(Q20&lt;&gt;0,P40+(COUNTIF($I40:P40,P40)=(Months_in_Year/Periodicity))*1,))</f>
        <v>4</v>
      </c>
      <c r="R40" s="67">
        <f ca="1">IF(AND(Q20=0,R20&lt;&gt;0),1,IF(R20&lt;&gt;0,Q40+(COUNTIF($I40:Q40,Q40)=(Months_in_Year/Periodicity))*1,))</f>
        <v>5</v>
      </c>
      <c r="S40" s="67">
        <f ca="1">IF(AND(R20=0,S20&lt;&gt;0),1,IF(S20&lt;&gt;0,R40+(COUNTIF($I40:R40,R40)=(Months_in_Year/Periodicity))*1,))</f>
        <v>6</v>
      </c>
      <c r="U40" s="19" t="str">
        <f t="shared" ca="1" si="5"/>
        <v>=IF(AND(I20=0,J20&lt;&gt;0),1,IF(J20&lt;&gt;0,I40+(COUNTIF($I40:I40,I40)=(Months_in_Year/Periodicity))*1,))</v>
      </c>
    </row>
    <row r="41" spans="3:21" outlineLevel="1" x14ac:dyDescent="0.2">
      <c r="E41" t="str">
        <f t="shared" si="4"/>
        <v>Brianna Cracker</v>
      </c>
      <c r="J41" s="67">
        <f ca="1">IF(AND(I21=0,J21&lt;&gt;0),1,IF(J21&lt;&gt;0,I41+(COUNTIF($I41:I41,I41)=(Months_in_Year/Periodicity))*1,))</f>
        <v>0</v>
      </c>
      <c r="K41" s="67">
        <f ca="1">IF(AND(J21=0,K21&lt;&gt;0),1,IF(K21&lt;&gt;0,J41+(COUNTIF($I41:J41,J41)=(Months_in_Year/Periodicity))*1,))</f>
        <v>0</v>
      </c>
      <c r="L41" s="67">
        <f ca="1">IF(AND(K21=0,L21&lt;&gt;0),1,IF(L21&lt;&gt;0,K41+(COUNTIF($I41:K41,K41)=(Months_in_Year/Periodicity))*1,))</f>
        <v>1</v>
      </c>
      <c r="M41" s="67">
        <f ca="1">IF(AND(L21=0,M21&lt;&gt;0),1,IF(M21&lt;&gt;0,L41+(COUNTIF($I41:L41,L41)=(Months_in_Year/Periodicity))*1,))</f>
        <v>2</v>
      </c>
      <c r="N41" s="67">
        <f ca="1">IF(AND(M21=0,N21&lt;&gt;0),1,IF(N21&lt;&gt;0,M41+(COUNTIF($I41:M41,M41)=(Months_in_Year/Periodicity))*1,))</f>
        <v>3</v>
      </c>
      <c r="O41" s="67">
        <f ca="1">IF(AND(N21=0,O21&lt;&gt;0),1,IF(O21&lt;&gt;0,N41+(COUNTIF($I41:N41,N41)=(Months_in_Year/Periodicity))*1,))</f>
        <v>4</v>
      </c>
      <c r="P41" s="67">
        <f ca="1">IF(AND(O21=0,P21&lt;&gt;0),1,IF(P21&lt;&gt;0,O41+(COUNTIF($I41:O41,O41)=(Months_in_Year/Periodicity))*1,))</f>
        <v>5</v>
      </c>
      <c r="Q41" s="67">
        <f ca="1">IF(AND(P21=0,Q21&lt;&gt;0),1,IF(Q21&lt;&gt;0,P41+(COUNTIF($I41:P41,P41)=(Months_in_Year/Periodicity))*1,))</f>
        <v>6</v>
      </c>
      <c r="R41" s="67">
        <f ca="1">IF(AND(Q21=0,R21&lt;&gt;0),1,IF(R21&lt;&gt;0,Q41+(COUNTIF($I41:Q41,Q41)=(Months_in_Year/Periodicity))*1,))</f>
        <v>7</v>
      </c>
      <c r="S41" s="67">
        <f ca="1">IF(AND(R21=0,S21&lt;&gt;0),1,IF(S21&lt;&gt;0,R41+(COUNTIF($I41:R41,R41)=(Months_in_Year/Periodicity))*1,))</f>
        <v>8</v>
      </c>
      <c r="U41" s="19" t="str">
        <f t="shared" ca="1" si="5"/>
        <v>=IF(AND(I21=0,J21&lt;&gt;0),1,IF(J21&lt;&gt;0,I41+(COUNTIF($I41:I41,I41)=(Months_in_Year/Periodicity))*1,))</v>
      </c>
    </row>
    <row r="42" spans="3:21" outlineLevel="1" x14ac:dyDescent="0.2">
      <c r="E42" t="str">
        <f t="shared" si="4"/>
        <v>Mae June</v>
      </c>
      <c r="J42" s="67">
        <f ca="1">IF(AND(I22=0,J22&lt;&gt;0),1,IF(J22&lt;&gt;0,I42+(COUNTIF($I42:I42,I42)=(Months_in_Year/Periodicity))*1,))</f>
        <v>1</v>
      </c>
      <c r="K42" s="67">
        <f ca="1">IF(AND(J22=0,K22&lt;&gt;0),1,IF(K22&lt;&gt;0,J42+(COUNTIF($I42:J42,J42)=(Months_in_Year/Periodicity))*1,))</f>
        <v>2</v>
      </c>
      <c r="L42" s="67">
        <f ca="1">IF(AND(K22=0,L22&lt;&gt;0),1,IF(L22&lt;&gt;0,K42+(COUNTIF($I42:K42,K42)=(Months_in_Year/Periodicity))*1,))</f>
        <v>3</v>
      </c>
      <c r="M42" s="67">
        <f ca="1">IF(AND(L22=0,M22&lt;&gt;0),1,IF(M22&lt;&gt;0,L42+(COUNTIF($I42:L42,L42)=(Months_in_Year/Periodicity))*1,))</f>
        <v>4</v>
      </c>
      <c r="N42" s="67">
        <f ca="1">IF(AND(M22=0,N22&lt;&gt;0),1,IF(N22&lt;&gt;0,M42+(COUNTIF($I42:M42,M42)=(Months_in_Year/Periodicity))*1,))</f>
        <v>5</v>
      </c>
      <c r="O42" s="67">
        <f ca="1">IF(AND(N22=0,O22&lt;&gt;0),1,IF(O22&lt;&gt;0,N42+(COUNTIF($I42:N42,N42)=(Months_in_Year/Periodicity))*1,))</f>
        <v>6</v>
      </c>
      <c r="P42" s="67">
        <f ca="1">IF(AND(O22=0,P22&lt;&gt;0),1,IF(P22&lt;&gt;0,O42+(COUNTIF($I42:O42,O42)=(Months_in_Year/Periodicity))*1,))</f>
        <v>7</v>
      </c>
      <c r="Q42" s="67">
        <f ca="1">IF(AND(P22=0,Q22&lt;&gt;0),1,IF(Q22&lt;&gt;0,P42+(COUNTIF($I42:P42,P42)=(Months_in_Year/Periodicity))*1,))</f>
        <v>8</v>
      </c>
      <c r="R42" s="67">
        <f ca="1">IF(AND(Q22=0,R22&lt;&gt;0),1,IF(R22&lt;&gt;0,Q42+(COUNTIF($I42:Q42,Q42)=(Months_in_Year/Periodicity))*1,))</f>
        <v>9</v>
      </c>
      <c r="S42" s="67">
        <f ca="1">IF(AND(R22=0,S22&lt;&gt;0),1,IF(S22&lt;&gt;0,R42+(COUNTIF($I42:R42,R42)=(Months_in_Year/Periodicity))*1,))</f>
        <v>10</v>
      </c>
      <c r="U42" s="19" t="str">
        <f t="shared" ca="1" si="5"/>
        <v>=IF(AND(I22=0,J22&lt;&gt;0),1,IF(J22&lt;&gt;0,I42+(COUNTIF($I42:I42,I42)=(Months_in_Year/Periodicity))*1,))</v>
      </c>
    </row>
    <row r="43" spans="3:21" outlineLevel="1" x14ac:dyDescent="0.2">
      <c r="E43" t="str">
        <f t="shared" si="4"/>
        <v>Jerry Kann</v>
      </c>
      <c r="J43" s="67">
        <f ca="1">IF(AND(I23=0,J23&lt;&gt;0),1,IF(J23&lt;&gt;0,I43+(COUNTIF($I43:I43,I43)=(Months_in_Year/Periodicity))*1,))</f>
        <v>1</v>
      </c>
      <c r="K43" s="67">
        <f ca="1">IF(AND(J23=0,K23&lt;&gt;0),1,IF(K23&lt;&gt;0,J43+(COUNTIF($I43:J43,J43)=(Months_in_Year/Periodicity))*1,))</f>
        <v>2</v>
      </c>
      <c r="L43" s="67">
        <f ca="1">IF(AND(K23=0,L23&lt;&gt;0),1,IF(L23&lt;&gt;0,K43+(COUNTIF($I43:K43,K43)=(Months_in_Year/Periodicity))*1,))</f>
        <v>3</v>
      </c>
      <c r="M43" s="67">
        <f ca="1">IF(AND(L23=0,M23&lt;&gt;0),1,IF(M23&lt;&gt;0,L43+(COUNTIF($I43:L43,L43)=(Months_in_Year/Periodicity))*1,))</f>
        <v>0</v>
      </c>
      <c r="N43" s="67">
        <f ca="1">IF(AND(M23=0,N23&lt;&gt;0),1,IF(N23&lt;&gt;0,M43+(COUNTIF($I43:M43,M43)=(Months_in_Year/Periodicity))*1,))</f>
        <v>0</v>
      </c>
      <c r="O43" s="67">
        <f ca="1">IF(AND(N23=0,O23&lt;&gt;0),1,IF(O23&lt;&gt;0,N43+(COUNTIF($I43:N43,N43)=(Months_in_Year/Periodicity))*1,))</f>
        <v>0</v>
      </c>
      <c r="P43" s="67">
        <f ca="1">IF(AND(O23=0,P23&lt;&gt;0),1,IF(P23&lt;&gt;0,O43+(COUNTIF($I43:O43,O43)=(Months_in_Year/Periodicity))*1,))</f>
        <v>0</v>
      </c>
      <c r="Q43" s="67">
        <f ca="1">IF(AND(P23=0,Q23&lt;&gt;0),1,IF(Q23&lt;&gt;0,P43+(COUNTIF($I43:P43,P43)=(Months_in_Year/Periodicity))*1,))</f>
        <v>0</v>
      </c>
      <c r="R43" s="67">
        <f ca="1">IF(AND(Q23=0,R23&lt;&gt;0),1,IF(R23&lt;&gt;0,Q43+(COUNTIF($I43:Q43,Q43)=(Months_in_Year/Periodicity))*1,))</f>
        <v>0</v>
      </c>
      <c r="S43" s="67">
        <f ca="1">IF(AND(R23=0,S23&lt;&gt;0),1,IF(S23&lt;&gt;0,R43+(COUNTIF($I43:R43,R43)=(Months_in_Year/Periodicity))*1,))</f>
        <v>0</v>
      </c>
      <c r="U43" s="19" t="str">
        <f t="shared" ca="1" si="5"/>
        <v>=IF(AND(I23=0,J23&lt;&gt;0),1,IF(J23&lt;&gt;0,I43+(COUNTIF($I43:I43,I43)=(Months_in_Year/Periodicity))*1,))</v>
      </c>
    </row>
    <row r="44" spans="3:21" outlineLevel="1" x14ac:dyDescent="0.2">
      <c r="E44" t="str">
        <f t="shared" si="4"/>
        <v>Bob Katt</v>
      </c>
      <c r="J44" s="67">
        <f ca="1">IF(AND(I24=0,J24&lt;&gt;0),1,IF(J24&lt;&gt;0,I44+(COUNTIF($I44:I44,I44)=(Months_in_Year/Periodicity))*1,))</f>
        <v>0</v>
      </c>
      <c r="K44" s="67">
        <f ca="1">IF(AND(J24=0,K24&lt;&gt;0),1,IF(K24&lt;&gt;0,J44+(COUNTIF($I44:J44,J44)=(Months_in_Year/Periodicity))*1,))</f>
        <v>0</v>
      </c>
      <c r="L44" s="67">
        <f ca="1">IF(AND(K24=0,L24&lt;&gt;0),1,IF(L24&lt;&gt;0,K44+(COUNTIF($I44:K44,K44)=(Months_in_Year/Periodicity))*1,))</f>
        <v>0</v>
      </c>
      <c r="M44" s="67">
        <f ca="1">IF(AND(L24=0,M24&lt;&gt;0),1,IF(M24&lt;&gt;0,L44+(COUNTIF($I44:L44,L44)=(Months_in_Year/Periodicity))*1,))</f>
        <v>0</v>
      </c>
      <c r="N44" s="67">
        <f ca="1">IF(AND(M24=0,N24&lt;&gt;0),1,IF(N24&lt;&gt;0,M44+(COUNTIF($I44:M44,M44)=(Months_in_Year/Periodicity))*1,))</f>
        <v>1</v>
      </c>
      <c r="O44" s="67">
        <f ca="1">IF(AND(N24=0,O24&lt;&gt;0),1,IF(O24&lt;&gt;0,N44+(COUNTIF($I44:N44,N44)=(Months_in_Year/Periodicity))*1,))</f>
        <v>2</v>
      </c>
      <c r="P44" s="67">
        <f ca="1">IF(AND(O24=0,P24&lt;&gt;0),1,IF(P24&lt;&gt;0,O44+(COUNTIF($I44:O44,O44)=(Months_in_Year/Periodicity))*1,))</f>
        <v>3</v>
      </c>
      <c r="Q44" s="67">
        <f ca="1">IF(AND(P24=0,Q24&lt;&gt;0),1,IF(Q24&lt;&gt;0,P44+(COUNTIF($I44:P44,P44)=(Months_in_Year/Periodicity))*1,))</f>
        <v>4</v>
      </c>
      <c r="R44" s="67">
        <f ca="1">IF(AND(Q24=0,R24&lt;&gt;0),1,IF(R24&lt;&gt;0,Q44+(COUNTIF($I44:Q44,Q44)=(Months_in_Year/Periodicity))*1,))</f>
        <v>5</v>
      </c>
      <c r="S44" s="67">
        <f ca="1">IF(AND(R24=0,S24&lt;&gt;0),1,IF(S24&lt;&gt;0,R44+(COUNTIF($I44:R44,R44)=(Months_in_Year/Periodicity))*1,))</f>
        <v>6</v>
      </c>
      <c r="U44" s="19" t="str">
        <f t="shared" ca="1" si="5"/>
        <v>=IF(AND(I24=0,J24&lt;&gt;0),1,IF(J24&lt;&gt;0,I44+(COUNTIF($I44:I44,I44)=(Months_in_Year/Periodicity))*1,))</v>
      </c>
    </row>
    <row r="45" spans="3:21" outlineLevel="1" x14ac:dyDescent="0.2">
      <c r="E45" t="str">
        <f t="shared" si="4"/>
        <v>Ray O'Lyte</v>
      </c>
      <c r="J45" s="67">
        <f ca="1">IF(AND(I25=0,J25&lt;&gt;0),1,IF(J25&lt;&gt;0,I45+(COUNTIF($I45:I45,I45)=(Months_in_Year/Periodicity))*1,))</f>
        <v>0</v>
      </c>
      <c r="K45" s="67">
        <f ca="1">IF(AND(J25=0,K25&lt;&gt;0),1,IF(K25&lt;&gt;0,J45+(COUNTIF($I45:J45,J45)=(Months_in_Year/Periodicity))*1,))</f>
        <v>0</v>
      </c>
      <c r="L45" s="67">
        <f ca="1">IF(AND(K25=0,L25&lt;&gt;0),1,IF(L25&lt;&gt;0,K45+(COUNTIF($I45:K45,K45)=(Months_in_Year/Periodicity))*1,))</f>
        <v>0</v>
      </c>
      <c r="M45" s="67">
        <f ca="1">IF(AND(L25=0,M25&lt;&gt;0),1,IF(M25&lt;&gt;0,L45+(COUNTIF($I45:L45,L45)=(Months_in_Year/Periodicity))*1,))</f>
        <v>1</v>
      </c>
      <c r="N45" s="67">
        <f ca="1">IF(AND(M25=0,N25&lt;&gt;0),1,IF(N25&lt;&gt;0,M45+(COUNTIF($I45:M45,M45)=(Months_in_Year/Periodicity))*1,))</f>
        <v>0</v>
      </c>
      <c r="O45" s="67">
        <f ca="1">IF(AND(N25=0,O25&lt;&gt;0),1,IF(O25&lt;&gt;0,N45+(COUNTIF($I45:N45,N45)=(Months_in_Year/Periodicity))*1,))</f>
        <v>0</v>
      </c>
      <c r="P45" s="67">
        <f ca="1">IF(AND(O25=0,P25&lt;&gt;0),1,IF(P25&lt;&gt;0,O45+(COUNTIF($I45:O45,O45)=(Months_in_Year/Periodicity))*1,))</f>
        <v>0</v>
      </c>
      <c r="Q45" s="67">
        <f ca="1">IF(AND(P25=0,Q25&lt;&gt;0),1,IF(Q25&lt;&gt;0,P45+(COUNTIF($I45:P45,P45)=(Months_in_Year/Periodicity))*1,))</f>
        <v>0</v>
      </c>
      <c r="R45" s="67">
        <f ca="1">IF(AND(Q25=0,R25&lt;&gt;0),1,IF(R25&lt;&gt;0,Q45+(COUNTIF($I45:Q45,Q45)=(Months_in_Year/Periodicity))*1,))</f>
        <v>0</v>
      </c>
      <c r="S45" s="67">
        <f ca="1">IF(AND(R25=0,S25&lt;&gt;0),1,IF(S25&lt;&gt;0,R45+(COUNTIF($I45:R45,R45)=(Months_in_Year/Periodicity))*1,))</f>
        <v>0</v>
      </c>
      <c r="U45" s="19" t="str">
        <f t="shared" ca="1" si="5"/>
        <v>=IF(AND(I25=0,J25&lt;&gt;0),1,IF(J25&lt;&gt;0,I45+(COUNTIF($I45:I45,I45)=(Months_in_Year/Periodicity))*1,))</v>
      </c>
    </row>
    <row r="46" spans="3:21" outlineLevel="1" x14ac:dyDescent="0.2">
      <c r="E46" t="str">
        <f t="shared" si="4"/>
        <v>Lou Seat</v>
      </c>
      <c r="J46" s="67">
        <f ca="1">IF(AND(I26=0,J26&lt;&gt;0),1,IF(J26&lt;&gt;0,I46+(COUNTIF($I46:I46,I46)=(Months_in_Year/Periodicity))*1,))</f>
        <v>0</v>
      </c>
      <c r="K46" s="67">
        <f ca="1">IF(AND(J26=0,K26&lt;&gt;0),1,IF(K26&lt;&gt;0,J46+(COUNTIF($I46:J46,J46)=(Months_in_Year/Periodicity))*1,))</f>
        <v>0</v>
      </c>
      <c r="L46" s="67">
        <f ca="1">IF(AND(K26=0,L26&lt;&gt;0),1,IF(L26&lt;&gt;0,K46+(COUNTIF($I46:K46,K46)=(Months_in_Year/Periodicity))*1,))</f>
        <v>0</v>
      </c>
      <c r="M46" s="67">
        <f ca="1">IF(AND(L26=0,M26&lt;&gt;0),1,IF(M26&lt;&gt;0,L46+(COUNTIF($I46:L46,L46)=(Months_in_Year/Periodicity))*1,))</f>
        <v>0</v>
      </c>
      <c r="N46" s="67">
        <f ca="1">IF(AND(M26=0,N26&lt;&gt;0),1,IF(N26&lt;&gt;0,M46+(COUNTIF($I46:M46,M46)=(Months_in_Year/Periodicity))*1,))</f>
        <v>1</v>
      </c>
      <c r="O46" s="67">
        <f ca="1">IF(AND(N26=0,O26&lt;&gt;0),1,IF(O26&lt;&gt;0,N46+(COUNTIF($I46:N46,N46)=(Months_in_Year/Periodicity))*1,))</f>
        <v>0</v>
      </c>
      <c r="P46" s="67">
        <f ca="1">IF(AND(O26=0,P26&lt;&gt;0),1,IF(P26&lt;&gt;0,O46+(COUNTIF($I46:O46,O46)=(Months_in_Year/Periodicity))*1,))</f>
        <v>0</v>
      </c>
      <c r="Q46" s="67">
        <f ca="1">IF(AND(P26=0,Q26&lt;&gt;0),1,IF(Q26&lt;&gt;0,P46+(COUNTIF($I46:P46,P46)=(Months_in_Year/Periodicity))*1,))</f>
        <v>0</v>
      </c>
      <c r="R46" s="67">
        <f ca="1">IF(AND(Q26=0,R26&lt;&gt;0),1,IF(R26&lt;&gt;0,Q46+(COUNTIF($I46:Q46,Q46)=(Months_in_Year/Periodicity))*1,))</f>
        <v>0</v>
      </c>
      <c r="S46" s="67">
        <f ca="1">IF(AND(R26=0,S26&lt;&gt;0),1,IF(S26&lt;&gt;0,R46+(COUNTIF($I46:R46,R46)=(Months_in_Year/Periodicity))*1,))</f>
        <v>0</v>
      </c>
      <c r="U46" s="19" t="str">
        <f t="shared" ca="1" si="5"/>
        <v>=IF(AND(I26=0,J26&lt;&gt;0),1,IF(J26&lt;&gt;0,I46+(COUNTIF($I46:I46,I46)=(Months_in_Year/Periodicity))*1,))</v>
      </c>
    </row>
    <row r="47" spans="3:21" outlineLevel="1" x14ac:dyDescent="0.2">
      <c r="U47" s="19"/>
    </row>
    <row r="48" spans="3:21" outlineLevel="1" x14ac:dyDescent="0.2">
      <c r="U48" s="19"/>
    </row>
    <row r="49" spans="2:29" ht="16.5" thickBot="1" x14ac:dyDescent="0.3">
      <c r="B49" s="43">
        <f>MAX($B$10:$B48)+1</f>
        <v>3</v>
      </c>
      <c r="C49" s="41" t="s">
        <v>138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2:29" ht="12.75" outlineLevel="1" thickTop="1" x14ac:dyDescent="0.2">
      <c r="U50" s="19"/>
    </row>
    <row r="51" spans="2:29" ht="16.5" outlineLevel="1" x14ac:dyDescent="0.25">
      <c r="C51" s="3" t="s">
        <v>82</v>
      </c>
      <c r="U51" s="19"/>
    </row>
    <row r="52" spans="2:29" outlineLevel="1" x14ac:dyDescent="0.2">
      <c r="U52" s="19"/>
    </row>
    <row r="53" spans="2:29" ht="15" outlineLevel="1" x14ac:dyDescent="0.25">
      <c r="D53" s="4" t="s">
        <v>136</v>
      </c>
      <c r="U53" s="19"/>
    </row>
    <row r="54" spans="2:29" outlineLevel="1" x14ac:dyDescent="0.2">
      <c r="U54" s="19"/>
    </row>
    <row r="55" spans="2:29" outlineLevel="1" x14ac:dyDescent="0.2">
      <c r="E55" s="13" t="str">
        <f>E17</f>
        <v>Name</v>
      </c>
      <c r="F55" s="13" t="str">
        <f>'Staffing Assumptions'!J28</f>
        <v>Initial Salary (OTE)</v>
      </c>
      <c r="G55" s="13" t="str">
        <f>'Staffing Assumptions'!K28</f>
        <v>Annual Increase</v>
      </c>
      <c r="U55" s="19"/>
    </row>
    <row r="56" spans="2:29" outlineLevel="1" x14ac:dyDescent="0.2">
      <c r="E56" t="str">
        <f>E18</f>
        <v>Sally Army</v>
      </c>
      <c r="F56" s="64">
        <f ca="1">'Staffing Assumptions'!J29</f>
        <v>35535</v>
      </c>
      <c r="G56" s="65">
        <f ca="1">'Staffing Assumptions'!K29</f>
        <v>1.3891297631950112E-2</v>
      </c>
      <c r="J56" s="66">
        <f ca="1">IF(AND(I38=0,J38=1),$F56,I56*(J38&lt;&gt;0)*(1+($G56*(I38&lt;&gt;J38))))</f>
        <v>0</v>
      </c>
      <c r="K56" s="66">
        <f t="shared" ref="K56:S56" ca="1" si="6">IF(AND(J38=0,K38=1),$F56,J56*(K38&lt;&gt;0)*(1+($G56*(J38&lt;&gt;K38))))</f>
        <v>0</v>
      </c>
      <c r="L56" s="66">
        <f t="shared" ca="1" si="6"/>
        <v>0</v>
      </c>
      <c r="M56" s="66">
        <f t="shared" ca="1" si="6"/>
        <v>35535</v>
      </c>
      <c r="N56" s="66">
        <f t="shared" ca="1" si="6"/>
        <v>36028.627261351343</v>
      </c>
      <c r="O56" s="66">
        <f t="shared" ca="1" si="6"/>
        <v>36529.111645909368</v>
      </c>
      <c r="P56" s="66">
        <f t="shared" ca="1" si="6"/>
        <v>37036.548408013427</v>
      </c>
      <c r="Q56" s="66">
        <f t="shared" ca="1" si="6"/>
        <v>37551.034125209269</v>
      </c>
      <c r="R56" s="66">
        <f t="shared" ca="1" si="6"/>
        <v>38072.666716630069</v>
      </c>
      <c r="S56" s="66">
        <f t="shared" ca="1" si="6"/>
        <v>38601.545461632813</v>
      </c>
      <c r="U56" s="19" t="str">
        <f t="shared" ca="1" si="5"/>
        <v>=IF(AND(I38=0,J38=1),$F56,I56*(J38&lt;&gt;0)*(1+($G56*(I38&lt;&gt;J38))))</v>
      </c>
    </row>
    <row r="57" spans="2:29" outlineLevel="1" x14ac:dyDescent="0.2">
      <c r="E57" t="str">
        <f t="shared" ref="E57:E64" si="7">E19</f>
        <v>Whitney Bay</v>
      </c>
      <c r="F57" s="64">
        <f ca="1">'Staffing Assumptions'!J30</f>
        <v>58670</v>
      </c>
      <c r="G57" s="65">
        <f ca="1">'Staffing Assumptions'!K30</f>
        <v>1.9782773905316707E-2</v>
      </c>
      <c r="J57" s="66">
        <f t="shared" ref="J57:S64" ca="1" si="8">IF(AND(I39=0,J39=1),$F57,I57*(J39&lt;&gt;0)*(1+($G57*(I39&lt;&gt;J39))))</f>
        <v>58670</v>
      </c>
      <c r="K57" s="66">
        <f t="shared" ca="1" si="8"/>
        <v>59830.655345024927</v>
      </c>
      <c r="L57" s="66">
        <f t="shared" ca="1" si="8"/>
        <v>61014.27167232248</v>
      </c>
      <c r="M57" s="66">
        <f t="shared" ca="1" si="8"/>
        <v>62221.303213813604</v>
      </c>
      <c r="N57" s="66">
        <f t="shared" ca="1" si="8"/>
        <v>63452.213187386631</v>
      </c>
      <c r="O57" s="66">
        <f t="shared" ca="1" si="8"/>
        <v>64707.473974664652</v>
      </c>
      <c r="P57" s="66">
        <f t="shared" ca="1" si="8"/>
        <v>65987.567302289608</v>
      </c>
      <c r="Q57" s="66">
        <f t="shared" ca="1" si="8"/>
        <v>67292.984426792667</v>
      </c>
      <c r="R57" s="66">
        <f t="shared" ca="1" si="8"/>
        <v>68624.226323121897</v>
      </c>
      <c r="S57" s="66">
        <f t="shared" ca="1" si="8"/>
        <v>69981.803876899503</v>
      </c>
      <c r="U57" s="19" t="str">
        <f t="shared" ca="1" si="5"/>
        <v>=IF(AND(I39=0,J39=1),$F57,I57*(J39&lt;&gt;0)*(1+($G57*(I39&lt;&gt;J39))))</v>
      </c>
    </row>
    <row r="58" spans="2:29" outlineLevel="1" x14ac:dyDescent="0.2">
      <c r="E58" t="str">
        <f t="shared" si="7"/>
        <v>Wendy Boatcomesin</v>
      </c>
      <c r="F58" s="64">
        <f ca="1">'Staffing Assumptions'!J31</f>
        <v>42802</v>
      </c>
      <c r="G58" s="65">
        <f ca="1">'Staffing Assumptions'!K31</f>
        <v>3.329881551285193E-2</v>
      </c>
      <c r="J58" s="66">
        <f t="shared" ca="1" si="8"/>
        <v>0</v>
      </c>
      <c r="K58" s="66">
        <f t="shared" ca="1" si="8"/>
        <v>0</v>
      </c>
      <c r="L58" s="66">
        <f t="shared" ca="1" si="8"/>
        <v>0</v>
      </c>
      <c r="M58" s="66">
        <f t="shared" ca="1" si="8"/>
        <v>0</v>
      </c>
      <c r="N58" s="66">
        <f t="shared" ca="1" si="8"/>
        <v>42802</v>
      </c>
      <c r="O58" s="66">
        <f t="shared" ca="1" si="8"/>
        <v>44227.255901581091</v>
      </c>
      <c r="P58" s="66">
        <f t="shared" ca="1" si="8"/>
        <v>45699.971136487533</v>
      </c>
      <c r="Q58" s="66">
        <f t="shared" ca="1" si="8"/>
        <v>47221.726044304094</v>
      </c>
      <c r="R58" s="66">
        <f t="shared" ca="1" si="8"/>
        <v>48794.153588051813</v>
      </c>
      <c r="S58" s="66">
        <f t="shared" ca="1" si="8"/>
        <v>50418.941106486112</v>
      </c>
      <c r="U58" s="19" t="str">
        <f t="shared" ca="1" si="5"/>
        <v>=IF(AND(I40=0,J40=1),$F58,I58*(J40&lt;&gt;0)*(1+($G58*(I40&lt;&gt;J40))))</v>
      </c>
    </row>
    <row r="59" spans="2:29" outlineLevel="1" x14ac:dyDescent="0.2">
      <c r="E59" t="str">
        <f t="shared" si="7"/>
        <v>Brianna Cracker</v>
      </c>
      <c r="F59" s="64">
        <f ca="1">'Staffing Assumptions'!J32</f>
        <v>49840</v>
      </c>
      <c r="G59" s="65">
        <f ca="1">'Staffing Assumptions'!K32</f>
        <v>2.802038817438985E-2</v>
      </c>
      <c r="J59" s="66">
        <f t="shared" ca="1" si="8"/>
        <v>0</v>
      </c>
      <c r="K59" s="66">
        <f t="shared" ca="1" si="8"/>
        <v>0</v>
      </c>
      <c r="L59" s="66">
        <f t="shared" ca="1" si="8"/>
        <v>49840</v>
      </c>
      <c r="M59" s="66">
        <f t="shared" ca="1" si="8"/>
        <v>51236.536146611594</v>
      </c>
      <c r="N59" s="66">
        <f t="shared" ca="1" si="8"/>
        <v>52672.203778150812</v>
      </c>
      <c r="O59" s="66">
        <f t="shared" ca="1" si="8"/>
        <v>54148.099374015161</v>
      </c>
      <c r="P59" s="66">
        <f t="shared" ca="1" si="8"/>
        <v>55665.350137380505</v>
      </c>
      <c r="Q59" s="66">
        <f t="shared" ca="1" si="8"/>
        <v>57225.114856093234</v>
      </c>
      <c r="R59" s="66">
        <f t="shared" ca="1" si="8"/>
        <v>58828.584787685009</v>
      </c>
      <c r="S59" s="66">
        <f t="shared" ca="1" si="8"/>
        <v>60476.984569185952</v>
      </c>
      <c r="U59" s="19" t="str">
        <f t="shared" ca="1" si="5"/>
        <v>=IF(AND(I41=0,J41=1),$F59,I59*(J41&lt;&gt;0)*(1+($G59*(I41&lt;&gt;J41))))</v>
      </c>
    </row>
    <row r="60" spans="2:29" outlineLevel="1" x14ac:dyDescent="0.2">
      <c r="E60" t="str">
        <f t="shared" si="7"/>
        <v>Mae June</v>
      </c>
      <c r="F60" s="64">
        <f ca="1">'Staffing Assumptions'!J33</f>
        <v>29135</v>
      </c>
      <c r="G60" s="65">
        <f ca="1">'Staffing Assumptions'!K33</f>
        <v>1.8817442113621703E-2</v>
      </c>
      <c r="J60" s="66">
        <f t="shared" ca="1" si="8"/>
        <v>29135</v>
      </c>
      <c r="K60" s="66">
        <f t="shared" ca="1" si="8"/>
        <v>29683.24617598037</v>
      </c>
      <c r="L60" s="66">
        <f t="shared" ca="1" si="8"/>
        <v>30241.808942641266</v>
      </c>
      <c r="M60" s="66">
        <f t="shared" ca="1" si="8"/>
        <v>30810.882431830629</v>
      </c>
      <c r="N60" s="66">
        <f t="shared" ca="1" si="8"/>
        <v>31390.664428461208</v>
      </c>
      <c r="O60" s="66">
        <f t="shared" ca="1" si="8"/>
        <v>31981.356439251904</v>
      </c>
      <c r="P60" s="66">
        <f t="shared" ca="1" si="8"/>
        <v>32583.163762762633</v>
      </c>
      <c r="Q60" s="66">
        <f t="shared" ca="1" si="8"/>
        <v>33196.295560747079</v>
      </c>
      <c r="R60" s="66">
        <f t="shared" ca="1" si="8"/>
        <v>33820.964930848117</v>
      </c>
      <c r="S60" s="66">
        <f t="shared" ca="1" si="8"/>
        <v>34457.388980661184</v>
      </c>
      <c r="U60" s="19" t="str">
        <f t="shared" ca="1" si="5"/>
        <v>=IF(AND(I42=0,J42=1),$F60,I60*(J42&lt;&gt;0)*(1+($G60*(I42&lt;&gt;J42))))</v>
      </c>
    </row>
    <row r="61" spans="2:29" outlineLevel="1" x14ac:dyDescent="0.2">
      <c r="E61" t="str">
        <f t="shared" si="7"/>
        <v>Jerry Kann</v>
      </c>
      <c r="F61" s="64">
        <f ca="1">'Staffing Assumptions'!J34</f>
        <v>53834</v>
      </c>
      <c r="G61" s="65">
        <f ca="1">'Staffing Assumptions'!K34</f>
        <v>1.8423404570079172E-2</v>
      </c>
      <c r="J61" s="66">
        <f t="shared" ca="1" si="8"/>
        <v>53834</v>
      </c>
      <c r="K61" s="66">
        <f t="shared" ca="1" si="8"/>
        <v>54825.805561625639</v>
      </c>
      <c r="L61" s="66">
        <f t="shared" ca="1" si="8"/>
        <v>55835.883558367961</v>
      </c>
      <c r="M61" s="66">
        <f t="shared" ca="1" si="8"/>
        <v>0</v>
      </c>
      <c r="N61" s="66">
        <f t="shared" ca="1" si="8"/>
        <v>0</v>
      </c>
      <c r="O61" s="66">
        <f t="shared" ca="1" si="8"/>
        <v>0</v>
      </c>
      <c r="P61" s="66">
        <f t="shared" ca="1" si="8"/>
        <v>0</v>
      </c>
      <c r="Q61" s="66">
        <f t="shared" ca="1" si="8"/>
        <v>0</v>
      </c>
      <c r="R61" s="66">
        <f t="shared" ca="1" si="8"/>
        <v>0</v>
      </c>
      <c r="S61" s="66">
        <f t="shared" ca="1" si="8"/>
        <v>0</v>
      </c>
      <c r="U61" s="19" t="str">
        <f t="shared" ca="1" si="5"/>
        <v>=IF(AND(I43=0,J43=1),$F61,I61*(J43&lt;&gt;0)*(1+($G61*(I43&lt;&gt;J43))))</v>
      </c>
    </row>
    <row r="62" spans="2:29" outlineLevel="1" x14ac:dyDescent="0.2">
      <c r="E62" t="str">
        <f t="shared" si="7"/>
        <v>Bob Katt</v>
      </c>
      <c r="F62" s="64">
        <f ca="1">'Staffing Assumptions'!J35</f>
        <v>30708</v>
      </c>
      <c r="G62" s="65">
        <f ca="1">'Staffing Assumptions'!K35</f>
        <v>3.8444034837611756E-4</v>
      </c>
      <c r="J62" s="66">
        <f t="shared" ca="1" si="8"/>
        <v>0</v>
      </c>
      <c r="K62" s="66">
        <f t="shared" ca="1" si="8"/>
        <v>0</v>
      </c>
      <c r="L62" s="66">
        <f t="shared" ca="1" si="8"/>
        <v>0</v>
      </c>
      <c r="M62" s="66">
        <f t="shared" ca="1" si="8"/>
        <v>0</v>
      </c>
      <c r="N62" s="66">
        <f t="shared" ca="1" si="8"/>
        <v>30708</v>
      </c>
      <c r="O62" s="66">
        <f t="shared" ca="1" si="8"/>
        <v>30719.805394217936</v>
      </c>
      <c r="P62" s="66">
        <f t="shared" ca="1" si="8"/>
        <v>30731.615326905736</v>
      </c>
      <c r="Q62" s="66">
        <f t="shared" ca="1" si="8"/>
        <v>30743.429799808175</v>
      </c>
      <c r="R62" s="66">
        <f t="shared" ca="1" si="8"/>
        <v>30755.248814670689</v>
      </c>
      <c r="S62" s="66">
        <f t="shared" ca="1" si="8"/>
        <v>30767.072373239396</v>
      </c>
      <c r="U62" s="19" t="str">
        <f t="shared" ca="1" si="5"/>
        <v>=IF(AND(I44=0,J44=1),$F62,I62*(J44&lt;&gt;0)*(1+($G62*(I44&lt;&gt;J44))))</v>
      </c>
    </row>
    <row r="63" spans="2:29" outlineLevel="1" x14ac:dyDescent="0.2">
      <c r="E63" t="str">
        <f t="shared" si="7"/>
        <v>Ray O'Lyte</v>
      </c>
      <c r="F63" s="64">
        <f ca="1">'Staffing Assumptions'!J36</f>
        <v>55796</v>
      </c>
      <c r="G63" s="65">
        <f ca="1">'Staffing Assumptions'!K36</f>
        <v>5.567198820085795E-3</v>
      </c>
      <c r="J63" s="66">
        <f t="shared" ca="1" si="8"/>
        <v>0</v>
      </c>
      <c r="K63" s="66">
        <f t="shared" ca="1" si="8"/>
        <v>0</v>
      </c>
      <c r="L63" s="66">
        <f t="shared" ca="1" si="8"/>
        <v>0</v>
      </c>
      <c r="M63" s="66">
        <f t="shared" ca="1" si="8"/>
        <v>55796</v>
      </c>
      <c r="N63" s="66">
        <f t="shared" ca="1" si="8"/>
        <v>0</v>
      </c>
      <c r="O63" s="66">
        <f t="shared" ca="1" si="8"/>
        <v>0</v>
      </c>
      <c r="P63" s="66">
        <f t="shared" ca="1" si="8"/>
        <v>0</v>
      </c>
      <c r="Q63" s="66">
        <f t="shared" ca="1" si="8"/>
        <v>0</v>
      </c>
      <c r="R63" s="66">
        <f t="shared" ca="1" si="8"/>
        <v>0</v>
      </c>
      <c r="S63" s="66">
        <f t="shared" ca="1" si="8"/>
        <v>0</v>
      </c>
      <c r="U63" s="19" t="str">
        <f t="shared" ca="1" si="5"/>
        <v>=IF(AND(I45=0,J45=1),$F63,I63*(J45&lt;&gt;0)*(1+($G63*(I45&lt;&gt;J45))))</v>
      </c>
    </row>
    <row r="64" spans="2:29" outlineLevel="1" x14ac:dyDescent="0.2">
      <c r="E64" t="str">
        <f t="shared" si="7"/>
        <v>Lou Seat</v>
      </c>
      <c r="F64" s="64">
        <f ca="1">'Staffing Assumptions'!J37</f>
        <v>54104</v>
      </c>
      <c r="G64" s="65">
        <f ca="1">'Staffing Assumptions'!K37</f>
        <v>1.7218416575764506E-2</v>
      </c>
      <c r="J64" s="66">
        <f t="shared" ca="1" si="8"/>
        <v>0</v>
      </c>
      <c r="K64" s="66">
        <f t="shared" ca="1" si="8"/>
        <v>0</v>
      </c>
      <c r="L64" s="66">
        <f t="shared" ca="1" si="8"/>
        <v>0</v>
      </c>
      <c r="M64" s="66">
        <f t="shared" ca="1" si="8"/>
        <v>0</v>
      </c>
      <c r="N64" s="66">
        <f t="shared" ca="1" si="8"/>
        <v>54104</v>
      </c>
      <c r="O64" s="66">
        <f t="shared" ca="1" si="8"/>
        <v>0</v>
      </c>
      <c r="P64" s="66">
        <f t="shared" ca="1" si="8"/>
        <v>0</v>
      </c>
      <c r="Q64" s="66">
        <f t="shared" ca="1" si="8"/>
        <v>0</v>
      </c>
      <c r="R64" s="66">
        <f t="shared" ca="1" si="8"/>
        <v>0</v>
      </c>
      <c r="S64" s="66">
        <f t="shared" ca="1" si="8"/>
        <v>0</v>
      </c>
      <c r="U64" s="19" t="str">
        <f t="shared" ca="1" si="5"/>
        <v>=IF(AND(I46=0,J46=1),$F64,I64*(J46&lt;&gt;0)*(1+($G64*(I46&lt;&gt;J46))))</v>
      </c>
    </row>
    <row r="65" spans="4:21" outlineLevel="1" x14ac:dyDescent="0.2">
      <c r="U65" s="19"/>
    </row>
    <row r="66" spans="4:21" outlineLevel="1" x14ac:dyDescent="0.2">
      <c r="U66" s="19"/>
    </row>
    <row r="67" spans="4:21" ht="15" outlineLevel="1" x14ac:dyDescent="0.25">
      <c r="D67" s="4" t="s">
        <v>137</v>
      </c>
      <c r="U67" s="19"/>
    </row>
    <row r="68" spans="4:21" outlineLevel="1" x14ac:dyDescent="0.2">
      <c r="U68" s="19"/>
    </row>
    <row r="69" spans="4:21" outlineLevel="1" x14ac:dyDescent="0.2">
      <c r="E69" s="13" t="str">
        <f>E17</f>
        <v>Name</v>
      </c>
      <c r="U69" s="19"/>
    </row>
    <row r="70" spans="4:21" outlineLevel="1" x14ac:dyDescent="0.2">
      <c r="E70" t="str">
        <f>E18</f>
        <v>Sally Army</v>
      </c>
      <c r="J70" s="66">
        <f t="shared" ref="J70:S70" ca="1" si="9">J56*MIN(J$8/Days_in_Year,1)</f>
        <v>0</v>
      </c>
      <c r="K70" s="66">
        <f t="shared" ca="1" si="9"/>
        <v>0</v>
      </c>
      <c r="L70" s="66">
        <f t="shared" ca="1" si="9"/>
        <v>0</v>
      </c>
      <c r="M70" s="66">
        <f t="shared" ca="1" si="9"/>
        <v>35535</v>
      </c>
      <c r="N70" s="66">
        <f t="shared" ca="1" si="9"/>
        <v>36028.627261351343</v>
      </c>
      <c r="O70" s="66">
        <f t="shared" ca="1" si="9"/>
        <v>36529.111645909368</v>
      </c>
      <c r="P70" s="66">
        <f t="shared" ca="1" si="9"/>
        <v>37036.548408013427</v>
      </c>
      <c r="Q70" s="66">
        <f t="shared" ca="1" si="9"/>
        <v>37551.034125209269</v>
      </c>
      <c r="R70" s="66">
        <f t="shared" ca="1" si="9"/>
        <v>38072.666716630069</v>
      </c>
      <c r="S70" s="66">
        <f t="shared" ca="1" si="9"/>
        <v>38601.545461632813</v>
      </c>
      <c r="U70" s="19" t="str">
        <f t="shared" ca="1" si="5"/>
        <v>=J56*MIN(J$8/Days_in_Year,1)</v>
      </c>
    </row>
    <row r="71" spans="4:21" outlineLevel="1" x14ac:dyDescent="0.2">
      <c r="E71" t="str">
        <f t="shared" ref="E71:E78" si="10">E19</f>
        <v>Whitney Bay</v>
      </c>
      <c r="J71" s="66">
        <f t="shared" ref="J71:S71" ca="1" si="11">J57*MIN(J$8/Days_in_Year,1)</f>
        <v>58670</v>
      </c>
      <c r="K71" s="66">
        <f t="shared" ca="1" si="11"/>
        <v>59830.655345024927</v>
      </c>
      <c r="L71" s="66">
        <f t="shared" ca="1" si="11"/>
        <v>61014.27167232248</v>
      </c>
      <c r="M71" s="66">
        <f t="shared" ca="1" si="11"/>
        <v>62221.303213813604</v>
      </c>
      <c r="N71" s="66">
        <f t="shared" ca="1" si="11"/>
        <v>63452.213187386631</v>
      </c>
      <c r="O71" s="66">
        <f t="shared" ca="1" si="11"/>
        <v>64707.473974664652</v>
      </c>
      <c r="P71" s="66">
        <f t="shared" ca="1" si="11"/>
        <v>65987.567302289608</v>
      </c>
      <c r="Q71" s="66">
        <f t="shared" ca="1" si="11"/>
        <v>67292.984426792667</v>
      </c>
      <c r="R71" s="66">
        <f t="shared" ca="1" si="11"/>
        <v>68624.226323121897</v>
      </c>
      <c r="S71" s="66">
        <f t="shared" ca="1" si="11"/>
        <v>69981.803876899503</v>
      </c>
      <c r="U71" s="19" t="str">
        <f t="shared" ca="1" si="5"/>
        <v>=J57*MIN(J$8/Days_in_Year,1)</v>
      </c>
    </row>
    <row r="72" spans="4:21" outlineLevel="1" x14ac:dyDescent="0.2">
      <c r="E72" t="str">
        <f t="shared" si="10"/>
        <v>Wendy Boatcomesin</v>
      </c>
      <c r="J72" s="66">
        <f t="shared" ref="J72:S72" ca="1" si="12">J58*MIN(J$8/Days_in_Year,1)</f>
        <v>0</v>
      </c>
      <c r="K72" s="66">
        <f t="shared" ca="1" si="12"/>
        <v>0</v>
      </c>
      <c r="L72" s="66">
        <f t="shared" ca="1" si="12"/>
        <v>0</v>
      </c>
      <c r="M72" s="66">
        <f t="shared" ca="1" si="12"/>
        <v>0</v>
      </c>
      <c r="N72" s="66">
        <f t="shared" ca="1" si="12"/>
        <v>42802</v>
      </c>
      <c r="O72" s="66">
        <f t="shared" ca="1" si="12"/>
        <v>44227.255901581091</v>
      </c>
      <c r="P72" s="66">
        <f t="shared" ca="1" si="12"/>
        <v>45699.971136487533</v>
      </c>
      <c r="Q72" s="66">
        <f t="shared" ca="1" si="12"/>
        <v>47221.726044304094</v>
      </c>
      <c r="R72" s="66">
        <f t="shared" ca="1" si="12"/>
        <v>48794.153588051813</v>
      </c>
      <c r="S72" s="66">
        <f t="shared" ca="1" si="12"/>
        <v>50418.941106486112</v>
      </c>
      <c r="U72" s="19" t="str">
        <f t="shared" ca="1" si="5"/>
        <v>=J58*MIN(J$8/Days_in_Year,1)</v>
      </c>
    </row>
    <row r="73" spans="4:21" outlineLevel="1" x14ac:dyDescent="0.2">
      <c r="E73" t="str">
        <f t="shared" si="10"/>
        <v>Brianna Cracker</v>
      </c>
      <c r="J73" s="66">
        <f t="shared" ref="J73:S73" ca="1" si="13">J59*MIN(J$8/Days_in_Year,1)</f>
        <v>0</v>
      </c>
      <c r="K73" s="66">
        <f t="shared" ca="1" si="13"/>
        <v>0</v>
      </c>
      <c r="L73" s="66">
        <f t="shared" ca="1" si="13"/>
        <v>49840</v>
      </c>
      <c r="M73" s="66">
        <f t="shared" ca="1" si="13"/>
        <v>51236.536146611594</v>
      </c>
      <c r="N73" s="66">
        <f t="shared" ca="1" si="13"/>
        <v>52672.203778150812</v>
      </c>
      <c r="O73" s="66">
        <f t="shared" ca="1" si="13"/>
        <v>54148.099374015161</v>
      </c>
      <c r="P73" s="66">
        <f t="shared" ca="1" si="13"/>
        <v>55665.350137380505</v>
      </c>
      <c r="Q73" s="66">
        <f t="shared" ca="1" si="13"/>
        <v>57225.114856093234</v>
      </c>
      <c r="R73" s="66">
        <f t="shared" ca="1" si="13"/>
        <v>58828.584787685009</v>
      </c>
      <c r="S73" s="66">
        <f t="shared" ca="1" si="13"/>
        <v>60476.984569185952</v>
      </c>
      <c r="U73" s="19" t="str">
        <f t="shared" ca="1" si="5"/>
        <v>=J59*MIN(J$8/Days_in_Year,1)</v>
      </c>
    </row>
    <row r="74" spans="4:21" outlineLevel="1" x14ac:dyDescent="0.2">
      <c r="E74" t="str">
        <f t="shared" si="10"/>
        <v>Mae June</v>
      </c>
      <c r="J74" s="66">
        <f t="shared" ref="J74:S74" ca="1" si="14">J60*MIN(J$8/Days_in_Year,1)</f>
        <v>29135</v>
      </c>
      <c r="K74" s="66">
        <f t="shared" ca="1" si="14"/>
        <v>29683.24617598037</v>
      </c>
      <c r="L74" s="66">
        <f t="shared" ca="1" si="14"/>
        <v>30241.808942641266</v>
      </c>
      <c r="M74" s="66">
        <f t="shared" ca="1" si="14"/>
        <v>30810.882431830629</v>
      </c>
      <c r="N74" s="66">
        <f t="shared" ca="1" si="14"/>
        <v>31390.664428461208</v>
      </c>
      <c r="O74" s="66">
        <f t="shared" ca="1" si="14"/>
        <v>31981.356439251904</v>
      </c>
      <c r="P74" s="66">
        <f t="shared" ca="1" si="14"/>
        <v>32583.163762762633</v>
      </c>
      <c r="Q74" s="66">
        <f t="shared" ca="1" si="14"/>
        <v>33196.295560747079</v>
      </c>
      <c r="R74" s="66">
        <f t="shared" ca="1" si="14"/>
        <v>33820.964930848117</v>
      </c>
      <c r="S74" s="66">
        <f t="shared" ca="1" si="14"/>
        <v>34457.388980661184</v>
      </c>
      <c r="U74" s="19" t="str">
        <f t="shared" ca="1" si="5"/>
        <v>=J60*MIN(J$8/Days_in_Year,1)</v>
      </c>
    </row>
    <row r="75" spans="4:21" outlineLevel="1" x14ac:dyDescent="0.2">
      <c r="E75" t="str">
        <f t="shared" si="10"/>
        <v>Jerry Kann</v>
      </c>
      <c r="J75" s="66">
        <f t="shared" ref="J75:S75" ca="1" si="15">J61*MIN(J$8/Days_in_Year,1)</f>
        <v>53834</v>
      </c>
      <c r="K75" s="66">
        <f t="shared" ca="1" si="15"/>
        <v>54825.805561625639</v>
      </c>
      <c r="L75" s="66">
        <f t="shared" ca="1" si="15"/>
        <v>55835.883558367961</v>
      </c>
      <c r="M75" s="66">
        <f t="shared" ca="1" si="15"/>
        <v>0</v>
      </c>
      <c r="N75" s="66">
        <f t="shared" ca="1" si="15"/>
        <v>0</v>
      </c>
      <c r="O75" s="66">
        <f t="shared" ca="1" si="15"/>
        <v>0</v>
      </c>
      <c r="P75" s="66">
        <f t="shared" ca="1" si="15"/>
        <v>0</v>
      </c>
      <c r="Q75" s="66">
        <f t="shared" ca="1" si="15"/>
        <v>0</v>
      </c>
      <c r="R75" s="66">
        <f t="shared" ca="1" si="15"/>
        <v>0</v>
      </c>
      <c r="S75" s="66">
        <f t="shared" ca="1" si="15"/>
        <v>0</v>
      </c>
      <c r="U75" s="19" t="str">
        <f t="shared" ca="1" si="5"/>
        <v>=J61*MIN(J$8/Days_in_Year,1)</v>
      </c>
    </row>
    <row r="76" spans="4:21" outlineLevel="1" x14ac:dyDescent="0.2">
      <c r="E76" t="str">
        <f t="shared" si="10"/>
        <v>Bob Katt</v>
      </c>
      <c r="J76" s="66">
        <f t="shared" ref="J76:S76" ca="1" si="16">J62*MIN(J$8/Days_in_Year,1)</f>
        <v>0</v>
      </c>
      <c r="K76" s="66">
        <f t="shared" ca="1" si="16"/>
        <v>0</v>
      </c>
      <c r="L76" s="66">
        <f t="shared" ca="1" si="16"/>
        <v>0</v>
      </c>
      <c r="M76" s="66">
        <f t="shared" ca="1" si="16"/>
        <v>0</v>
      </c>
      <c r="N76" s="66">
        <f t="shared" ca="1" si="16"/>
        <v>30708</v>
      </c>
      <c r="O76" s="66">
        <f t="shared" ca="1" si="16"/>
        <v>30719.805394217936</v>
      </c>
      <c r="P76" s="66">
        <f t="shared" ca="1" si="16"/>
        <v>30731.615326905736</v>
      </c>
      <c r="Q76" s="66">
        <f t="shared" ca="1" si="16"/>
        <v>30743.429799808175</v>
      </c>
      <c r="R76" s="66">
        <f t="shared" ca="1" si="16"/>
        <v>30755.248814670689</v>
      </c>
      <c r="S76" s="66">
        <f t="shared" ca="1" si="16"/>
        <v>30767.072373239396</v>
      </c>
      <c r="U76" s="19" t="str">
        <f t="shared" ca="1" si="5"/>
        <v>=J62*MIN(J$8/Days_in_Year,1)</v>
      </c>
    </row>
    <row r="77" spans="4:21" outlineLevel="1" x14ac:dyDescent="0.2">
      <c r="E77" t="str">
        <f t="shared" si="10"/>
        <v>Ray O'Lyte</v>
      </c>
      <c r="J77" s="66">
        <f t="shared" ref="J77:S77" ca="1" si="17">J63*MIN(J$8/Days_in_Year,1)</f>
        <v>0</v>
      </c>
      <c r="K77" s="66">
        <f t="shared" ca="1" si="17"/>
        <v>0</v>
      </c>
      <c r="L77" s="66">
        <f t="shared" ca="1" si="17"/>
        <v>0</v>
      </c>
      <c r="M77" s="66">
        <f t="shared" ca="1" si="17"/>
        <v>55796</v>
      </c>
      <c r="N77" s="66">
        <f t="shared" ca="1" si="17"/>
        <v>0</v>
      </c>
      <c r="O77" s="66">
        <f t="shared" ca="1" si="17"/>
        <v>0</v>
      </c>
      <c r="P77" s="66">
        <f t="shared" ca="1" si="17"/>
        <v>0</v>
      </c>
      <c r="Q77" s="66">
        <f t="shared" ca="1" si="17"/>
        <v>0</v>
      </c>
      <c r="R77" s="66">
        <f t="shared" ca="1" si="17"/>
        <v>0</v>
      </c>
      <c r="S77" s="66">
        <f t="shared" ca="1" si="17"/>
        <v>0</v>
      </c>
      <c r="U77" s="19" t="str">
        <f t="shared" ca="1" si="5"/>
        <v>=J63*MIN(J$8/Days_in_Year,1)</v>
      </c>
    </row>
    <row r="78" spans="4:21" outlineLevel="1" x14ac:dyDescent="0.2">
      <c r="E78" t="str">
        <f t="shared" si="10"/>
        <v>Lou Seat</v>
      </c>
      <c r="J78" s="66">
        <f t="shared" ref="J78:S78" ca="1" si="18">J64*MIN(J$8/Days_in_Year,1)</f>
        <v>0</v>
      </c>
      <c r="K78" s="66">
        <f t="shared" ca="1" si="18"/>
        <v>0</v>
      </c>
      <c r="L78" s="66">
        <f t="shared" ca="1" si="18"/>
        <v>0</v>
      </c>
      <c r="M78" s="66">
        <f t="shared" ca="1" si="18"/>
        <v>0</v>
      </c>
      <c r="N78" s="66">
        <f t="shared" ca="1" si="18"/>
        <v>54104</v>
      </c>
      <c r="O78" s="66">
        <f t="shared" ca="1" si="18"/>
        <v>0</v>
      </c>
      <c r="P78" s="66">
        <f t="shared" ca="1" si="18"/>
        <v>0</v>
      </c>
      <c r="Q78" s="66">
        <f t="shared" ca="1" si="18"/>
        <v>0</v>
      </c>
      <c r="R78" s="66">
        <f t="shared" ca="1" si="18"/>
        <v>0</v>
      </c>
      <c r="S78" s="66">
        <f t="shared" ca="1" si="18"/>
        <v>0</v>
      </c>
      <c r="U78" s="19" t="str">
        <f t="shared" ca="1" si="5"/>
        <v>=J64*MIN(J$8/Days_in_Year,1)</v>
      </c>
    </row>
    <row r="79" spans="4:21" outlineLevel="1" x14ac:dyDescent="0.2">
      <c r="U79" s="19"/>
    </row>
    <row r="80" spans="4:21" outlineLevel="1" x14ac:dyDescent="0.2">
      <c r="U80" s="19"/>
    </row>
    <row r="81" spans="2:29" ht="16.5" thickBot="1" x14ac:dyDescent="0.3">
      <c r="B81" s="43">
        <f>MAX($B$10:$B80)+1</f>
        <v>4</v>
      </c>
      <c r="C81" s="41" t="s">
        <v>139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2:29" ht="12.75" outlineLevel="1" thickTop="1" x14ac:dyDescent="0.2">
      <c r="U82" s="19"/>
    </row>
    <row r="83" spans="2:29" ht="16.5" outlineLevel="1" x14ac:dyDescent="0.25">
      <c r="C83" s="3" t="s">
        <v>82</v>
      </c>
      <c r="U83" s="19"/>
    </row>
    <row r="84" spans="2:29" outlineLevel="1" x14ac:dyDescent="0.2">
      <c r="U84" s="19"/>
    </row>
    <row r="85" spans="2:29" ht="15" outlineLevel="1" x14ac:dyDescent="0.25">
      <c r="D85" s="4" t="s">
        <v>140</v>
      </c>
      <c r="U85" s="19"/>
    </row>
    <row r="86" spans="2:29" outlineLevel="1" x14ac:dyDescent="0.2">
      <c r="U86" s="19"/>
    </row>
    <row r="87" spans="2:29" outlineLevel="1" x14ac:dyDescent="0.2">
      <c r="E87" s="13" t="str">
        <f>E17</f>
        <v>Name</v>
      </c>
      <c r="U87" s="19"/>
    </row>
    <row r="88" spans="2:29" outlineLevel="1" x14ac:dyDescent="0.2">
      <c r="E88" t="str">
        <f>E18</f>
        <v>Sally Army</v>
      </c>
      <c r="J88" s="66">
        <f ca="1">J70*J18</f>
        <v>0</v>
      </c>
      <c r="K88" s="66">
        <f t="shared" ref="K88:S88" ca="1" si="19">K70*K18</f>
        <v>0</v>
      </c>
      <c r="L88" s="66">
        <f t="shared" ca="1" si="19"/>
        <v>0</v>
      </c>
      <c r="M88" s="66">
        <f t="shared" ca="1" si="19"/>
        <v>20152.726027397261</v>
      </c>
      <c r="N88" s="66">
        <f t="shared" ca="1" si="19"/>
        <v>36028.627261351343</v>
      </c>
      <c r="O88" s="66">
        <f t="shared" ca="1" si="19"/>
        <v>36529.111645909368</v>
      </c>
      <c r="P88" s="66">
        <f t="shared" ca="1" si="19"/>
        <v>37036.548408013427</v>
      </c>
      <c r="Q88" s="66">
        <f t="shared" ca="1" si="19"/>
        <v>37551.034125209269</v>
      </c>
      <c r="R88" s="66">
        <f t="shared" ca="1" si="19"/>
        <v>38072.666716630069</v>
      </c>
      <c r="S88" s="66">
        <f t="shared" ca="1" si="19"/>
        <v>35957.603991657961</v>
      </c>
      <c r="U88" s="19" t="str">
        <f t="shared" ca="1" si="5"/>
        <v>=J70*J18</v>
      </c>
    </row>
    <row r="89" spans="2:29" outlineLevel="1" x14ac:dyDescent="0.2">
      <c r="E89" t="str">
        <f t="shared" ref="E89:E96" si="20">E19</f>
        <v>Whitney Bay</v>
      </c>
      <c r="J89" s="66">
        <f t="shared" ref="J89:S96" ca="1" si="21">J71*J19</f>
        <v>5610.5191256830594</v>
      </c>
      <c r="K89" s="66">
        <f t="shared" ca="1" si="21"/>
        <v>11966.131069004987</v>
      </c>
      <c r="L89" s="66">
        <f t="shared" ca="1" si="21"/>
        <v>12202.854334464497</v>
      </c>
      <c r="M89" s="66">
        <f t="shared" ca="1" si="21"/>
        <v>12444.260642762722</v>
      </c>
      <c r="N89" s="66">
        <f t="shared" ca="1" si="21"/>
        <v>12690.442637477327</v>
      </c>
      <c r="O89" s="66">
        <f t="shared" ca="1" si="21"/>
        <v>12941.494794932931</v>
      </c>
      <c r="P89" s="66">
        <f t="shared" ca="1" si="21"/>
        <v>13197.513460457922</v>
      </c>
      <c r="Q89" s="66">
        <f t="shared" ca="1" si="21"/>
        <v>13458.596885358535</v>
      </c>
      <c r="R89" s="66">
        <f t="shared" ca="1" si="21"/>
        <v>13724.84526462438</v>
      </c>
      <c r="S89" s="66">
        <f t="shared" ca="1" si="21"/>
        <v>13996.360775379901</v>
      </c>
      <c r="U89" s="19" t="str">
        <f t="shared" ca="1" si="5"/>
        <v>=J71*J19</v>
      </c>
    </row>
    <row r="90" spans="2:29" outlineLevel="1" x14ac:dyDescent="0.2">
      <c r="E90" t="str">
        <f t="shared" si="20"/>
        <v>Wendy Boatcomesin</v>
      </c>
      <c r="J90" s="66">
        <f t="shared" ca="1" si="21"/>
        <v>0</v>
      </c>
      <c r="K90" s="66">
        <f t="shared" ca="1" si="21"/>
        <v>0</v>
      </c>
      <c r="L90" s="66">
        <f t="shared" ca="1" si="21"/>
        <v>0</v>
      </c>
      <c r="M90" s="66">
        <f t="shared" ca="1" si="21"/>
        <v>0</v>
      </c>
      <c r="N90" s="66">
        <f t="shared" ca="1" si="21"/>
        <v>32276.918032786882</v>
      </c>
      <c r="O90" s="66">
        <f t="shared" ca="1" si="21"/>
        <v>44227.255901581091</v>
      </c>
      <c r="P90" s="66">
        <f t="shared" ca="1" si="21"/>
        <v>45699.971136487533</v>
      </c>
      <c r="Q90" s="66">
        <f t="shared" ca="1" si="21"/>
        <v>47221.726044304094</v>
      </c>
      <c r="R90" s="66">
        <f t="shared" ca="1" si="21"/>
        <v>48794.153588051813</v>
      </c>
      <c r="S90" s="66">
        <f t="shared" ca="1" si="21"/>
        <v>50418.941106486112</v>
      </c>
      <c r="U90" s="19" t="str">
        <f t="shared" ca="1" si="5"/>
        <v>=J72*J20</v>
      </c>
    </row>
    <row r="91" spans="2:29" outlineLevel="1" x14ac:dyDescent="0.2">
      <c r="E91" t="str">
        <f t="shared" si="20"/>
        <v>Brianna Cracker</v>
      </c>
      <c r="J91" s="66">
        <f t="shared" ca="1" si="21"/>
        <v>0</v>
      </c>
      <c r="K91" s="66">
        <f t="shared" ca="1" si="21"/>
        <v>0</v>
      </c>
      <c r="L91" s="66">
        <f t="shared" ca="1" si="21"/>
        <v>17802.438356164384</v>
      </c>
      <c r="M91" s="66">
        <f t="shared" ca="1" si="21"/>
        <v>44831.969128285142</v>
      </c>
      <c r="N91" s="66">
        <f t="shared" ca="1" si="21"/>
        <v>46088.178305881956</v>
      </c>
      <c r="O91" s="66">
        <f t="shared" ca="1" si="21"/>
        <v>47379.586952263264</v>
      </c>
      <c r="P91" s="66">
        <f t="shared" ca="1" si="21"/>
        <v>48707.181370207938</v>
      </c>
      <c r="Q91" s="66">
        <f t="shared" ca="1" si="21"/>
        <v>50071.975499081578</v>
      </c>
      <c r="R91" s="66">
        <f t="shared" ca="1" si="21"/>
        <v>51475.011689224382</v>
      </c>
      <c r="S91" s="66">
        <f t="shared" ca="1" si="21"/>
        <v>52917.36149803771</v>
      </c>
      <c r="U91" s="19" t="str">
        <f t="shared" ca="1" si="5"/>
        <v>=J73*J21</v>
      </c>
    </row>
    <row r="92" spans="2:29" outlineLevel="1" x14ac:dyDescent="0.2">
      <c r="E92" t="str">
        <f t="shared" si="20"/>
        <v>Mae June</v>
      </c>
      <c r="J92" s="66">
        <f t="shared" ca="1" si="21"/>
        <v>29135</v>
      </c>
      <c r="K92" s="66">
        <f t="shared" ca="1" si="21"/>
        <v>29683.24617598037</v>
      </c>
      <c r="L92" s="66">
        <f t="shared" ca="1" si="21"/>
        <v>30241.808942641266</v>
      </c>
      <c r="M92" s="66">
        <f t="shared" ca="1" si="21"/>
        <v>30810.882431830629</v>
      </c>
      <c r="N92" s="66">
        <f t="shared" ca="1" si="21"/>
        <v>31390.664428461208</v>
      </c>
      <c r="O92" s="66">
        <f t="shared" ca="1" si="21"/>
        <v>31981.356439251904</v>
      </c>
      <c r="P92" s="66">
        <f t="shared" ca="1" si="21"/>
        <v>32583.163762762633</v>
      </c>
      <c r="Q92" s="66">
        <f t="shared" ca="1" si="21"/>
        <v>33196.295560747079</v>
      </c>
      <c r="R92" s="66">
        <f t="shared" ca="1" si="21"/>
        <v>33820.964930848117</v>
      </c>
      <c r="S92" s="66">
        <f t="shared" ca="1" si="21"/>
        <v>34457.388980661184</v>
      </c>
      <c r="U92" s="19" t="str">
        <f t="shared" ca="1" si="5"/>
        <v>=J74*J22</v>
      </c>
    </row>
    <row r="93" spans="2:29" outlineLevel="1" x14ac:dyDescent="0.2">
      <c r="E93" t="str">
        <f t="shared" si="20"/>
        <v>Jerry Kann</v>
      </c>
      <c r="J93" s="66">
        <f t="shared" ca="1" si="21"/>
        <v>53098.562841530053</v>
      </c>
      <c r="K93" s="66">
        <f t="shared" ca="1" si="21"/>
        <v>54825.805561625639</v>
      </c>
      <c r="L93" s="66">
        <f t="shared" ca="1" si="21"/>
        <v>14073.702157177679</v>
      </c>
      <c r="M93" s="66">
        <f t="shared" ca="1" si="21"/>
        <v>0</v>
      </c>
      <c r="N93" s="66">
        <f t="shared" ca="1" si="21"/>
        <v>0</v>
      </c>
      <c r="O93" s="66">
        <f t="shared" ca="1" si="21"/>
        <v>0</v>
      </c>
      <c r="P93" s="66">
        <f t="shared" ca="1" si="21"/>
        <v>0</v>
      </c>
      <c r="Q93" s="66">
        <f t="shared" ca="1" si="21"/>
        <v>0</v>
      </c>
      <c r="R93" s="66">
        <f t="shared" ca="1" si="21"/>
        <v>0</v>
      </c>
      <c r="S93" s="66">
        <f t="shared" ca="1" si="21"/>
        <v>0</v>
      </c>
      <c r="U93" s="19" t="str">
        <f t="shared" ca="1" si="5"/>
        <v>=J75*J23</v>
      </c>
    </row>
    <row r="94" spans="2:29" outlineLevel="1" x14ac:dyDescent="0.2">
      <c r="E94" t="str">
        <f t="shared" si="20"/>
        <v>Bob Katt</v>
      </c>
      <c r="J94" s="66">
        <f t="shared" ca="1" si="21"/>
        <v>0</v>
      </c>
      <c r="K94" s="66">
        <f t="shared" ca="1" si="21"/>
        <v>0</v>
      </c>
      <c r="L94" s="66">
        <f t="shared" ca="1" si="21"/>
        <v>0</v>
      </c>
      <c r="M94" s="66">
        <f t="shared" ca="1" si="21"/>
        <v>0</v>
      </c>
      <c r="N94" s="66">
        <f t="shared" ca="1" si="21"/>
        <v>755.11475409836066</v>
      </c>
      <c r="O94" s="66">
        <f t="shared" ca="1" si="21"/>
        <v>30719.805394217936</v>
      </c>
      <c r="P94" s="66">
        <f t="shared" ca="1" si="21"/>
        <v>30731.615326905736</v>
      </c>
      <c r="Q94" s="66">
        <f t="shared" ca="1" si="21"/>
        <v>30743.429799808175</v>
      </c>
      <c r="R94" s="66">
        <f t="shared" ca="1" si="21"/>
        <v>30755.248814670689</v>
      </c>
      <c r="S94" s="66">
        <f t="shared" ca="1" si="21"/>
        <v>30767.072373239396</v>
      </c>
      <c r="U94" s="19" t="str">
        <f t="shared" ca="1" si="5"/>
        <v>=J76*J24</v>
      </c>
    </row>
    <row r="95" spans="2:29" outlineLevel="1" x14ac:dyDescent="0.2">
      <c r="E95" t="str">
        <f t="shared" si="20"/>
        <v>Ray O'Lyte</v>
      </c>
      <c r="J95" s="66">
        <f t="shared" ca="1" si="21"/>
        <v>0</v>
      </c>
      <c r="K95" s="66">
        <f t="shared" ca="1" si="21"/>
        <v>0</v>
      </c>
      <c r="L95" s="66">
        <f t="shared" ca="1" si="21"/>
        <v>0</v>
      </c>
      <c r="M95" s="66">
        <f t="shared" ca="1" si="21"/>
        <v>3477.6958904109588</v>
      </c>
      <c r="N95" s="66">
        <f t="shared" ca="1" si="21"/>
        <v>0</v>
      </c>
      <c r="O95" s="66">
        <f t="shared" ca="1" si="21"/>
        <v>0</v>
      </c>
      <c r="P95" s="66">
        <f t="shared" ca="1" si="21"/>
        <v>0</v>
      </c>
      <c r="Q95" s="66">
        <f t="shared" ca="1" si="21"/>
        <v>0</v>
      </c>
      <c r="R95" s="66">
        <f t="shared" ca="1" si="21"/>
        <v>0</v>
      </c>
      <c r="S95" s="66">
        <f t="shared" ca="1" si="21"/>
        <v>0</v>
      </c>
      <c r="U95" s="19" t="str">
        <f t="shared" ca="1" si="5"/>
        <v>=J77*J25</v>
      </c>
    </row>
    <row r="96" spans="2:29" outlineLevel="1" x14ac:dyDescent="0.2">
      <c r="E96" t="str">
        <f t="shared" si="20"/>
        <v>Lou Seat</v>
      </c>
      <c r="J96" s="66">
        <f t="shared" ca="1" si="21"/>
        <v>0</v>
      </c>
      <c r="K96" s="66">
        <f t="shared" ca="1" si="21"/>
        <v>0</v>
      </c>
      <c r="L96" s="66">
        <f t="shared" ca="1" si="21"/>
        <v>0</v>
      </c>
      <c r="M96" s="66">
        <f t="shared" ca="1" si="21"/>
        <v>0</v>
      </c>
      <c r="N96" s="66">
        <f t="shared" ca="1" si="21"/>
        <v>13452.08743169399</v>
      </c>
      <c r="O96" s="66">
        <f t="shared" ca="1" si="21"/>
        <v>0</v>
      </c>
      <c r="P96" s="66">
        <f t="shared" ca="1" si="21"/>
        <v>0</v>
      </c>
      <c r="Q96" s="66">
        <f t="shared" ca="1" si="21"/>
        <v>0</v>
      </c>
      <c r="R96" s="66">
        <f t="shared" ca="1" si="21"/>
        <v>0</v>
      </c>
      <c r="S96" s="66">
        <f t="shared" ca="1" si="21"/>
        <v>0</v>
      </c>
      <c r="U96" s="19" t="str">
        <f t="shared" ca="1" si="5"/>
        <v>=J78*J26</v>
      </c>
    </row>
    <row r="97" spans="5:28" outlineLevel="1" x14ac:dyDescent="0.2">
      <c r="U97" s="19"/>
    </row>
    <row r="98" spans="5:28" ht="12.75" outlineLevel="1" thickBot="1" x14ac:dyDescent="0.25">
      <c r="E98" t="s">
        <v>141</v>
      </c>
      <c r="J98" s="68">
        <f ca="1">SUM(J88:J96)</f>
        <v>87844.081967213104</v>
      </c>
      <c r="K98" s="68">
        <f t="shared" ref="K98:S98" ca="1" si="22">SUM(K88:K96)</f>
        <v>96475.182806611003</v>
      </c>
      <c r="L98" s="68">
        <f t="shared" ca="1" si="22"/>
        <v>74320.803790447826</v>
      </c>
      <c r="M98" s="68">
        <f t="shared" ca="1" si="22"/>
        <v>111717.53412068672</v>
      </c>
      <c r="N98" s="68">
        <f t="shared" ca="1" si="22"/>
        <v>172682.03285175108</v>
      </c>
      <c r="O98" s="68">
        <f t="shared" ca="1" si="22"/>
        <v>203778.61112815645</v>
      </c>
      <c r="P98" s="68">
        <f t="shared" ca="1" si="22"/>
        <v>207955.99346483516</v>
      </c>
      <c r="Q98" s="68">
        <f t="shared" ca="1" si="22"/>
        <v>212243.05791450874</v>
      </c>
      <c r="R98" s="68">
        <f t="shared" ca="1" si="22"/>
        <v>216642.89100404942</v>
      </c>
      <c r="S98" s="68">
        <f t="shared" ca="1" si="22"/>
        <v>218514.72872546222</v>
      </c>
      <c r="U98" s="19" t="str">
        <f t="shared" ca="1" si="5"/>
        <v>=SUM(J88:J96)</v>
      </c>
    </row>
    <row r="99" spans="5:28" ht="12.75" outlineLevel="1" thickTop="1" x14ac:dyDescent="0.2"/>
    <row r="100" spans="5:28" outlineLevel="1" x14ac:dyDescent="0.2">
      <c r="E100" t="s">
        <v>146</v>
      </c>
      <c r="J100" s="69">
        <f ca="1">IF(J28,J98/J28,)</f>
        <v>42192.826771653541</v>
      </c>
      <c r="K100" s="69">
        <f t="shared" ref="K100:AB100" ca="1" si="23">IF(K28,K98/K28,)</f>
        <v>43852.355821186815</v>
      </c>
      <c r="L100" s="69">
        <f t="shared" ca="1" si="23"/>
        <v>41078.316689022839</v>
      </c>
      <c r="M100" s="69">
        <f t="shared" ca="1" si="23"/>
        <v>41308.750111739297</v>
      </c>
      <c r="N100" s="69">
        <f t="shared" ca="1" si="23"/>
        <v>42093.725414593158</v>
      </c>
      <c r="O100" s="69">
        <f t="shared" ca="1" si="23"/>
        <v>40153.420911952009</v>
      </c>
      <c r="P100" s="69">
        <f t="shared" ca="1" si="23"/>
        <v>40976.550436420723</v>
      </c>
      <c r="Q100" s="69">
        <f t="shared" ca="1" si="23"/>
        <v>41821.292199903197</v>
      </c>
      <c r="R100" s="69">
        <f t="shared" ca="1" si="23"/>
        <v>42688.254385034365</v>
      </c>
      <c r="S100" s="69">
        <f t="shared" ca="1" si="23"/>
        <v>43646.145966095479</v>
      </c>
      <c r="T100" s="69">
        <f t="shared" si="23"/>
        <v>0</v>
      </c>
      <c r="U100" s="69" t="e">
        <f t="shared" ca="1" si="23"/>
        <v>#VALUE!</v>
      </c>
      <c r="V100" s="69">
        <f t="shared" si="23"/>
        <v>0</v>
      </c>
      <c r="W100" s="69">
        <f t="shared" si="23"/>
        <v>0</v>
      </c>
      <c r="X100" s="69">
        <f t="shared" si="23"/>
        <v>0</v>
      </c>
      <c r="Y100" s="69">
        <f t="shared" si="23"/>
        <v>0</v>
      </c>
      <c r="Z100" s="69">
        <f t="shared" si="23"/>
        <v>0</v>
      </c>
      <c r="AA100" s="69">
        <f t="shared" si="23"/>
        <v>0</v>
      </c>
      <c r="AB100" s="69">
        <f t="shared" si="23"/>
        <v>0</v>
      </c>
    </row>
    <row r="101" spans="5:28" outlineLevel="1" x14ac:dyDescent="0.2"/>
    <row r="102" spans="5:28" outlineLevel="1" x14ac:dyDescent="0.2"/>
  </sheetData>
  <mergeCells count="2">
    <mergeCell ref="I1:J1"/>
    <mergeCell ref="A3:E3"/>
  </mergeCells>
  <conditionalFormatting sqref="G4">
    <cfRule type="cellIs" dxfId="10" priority="7" operator="notEqual">
      <formula>0</formula>
    </cfRule>
  </conditionalFormatting>
  <conditionalFormatting sqref="J56:S64">
    <cfRule type="cellIs" dxfId="9" priority="5" operator="greaterThan">
      <formula>0</formula>
    </cfRule>
  </conditionalFormatting>
  <conditionalFormatting sqref="J38:S46">
    <cfRule type="cellIs" dxfId="8" priority="4" operator="greaterThan">
      <formula>0</formula>
    </cfRule>
  </conditionalFormatting>
  <conditionalFormatting sqref="J70:S78">
    <cfRule type="cellIs" dxfId="7" priority="3" operator="greaterThan">
      <formula>0</formula>
    </cfRule>
  </conditionalFormatting>
  <conditionalFormatting sqref="J88:S96">
    <cfRule type="cellIs" dxfId="6" priority="2" operator="greaterThan">
      <formula>0</formula>
    </cfRule>
  </conditionalFormatting>
  <conditionalFormatting sqref="J18:S26">
    <cfRule type="cellIs" dxfId="5" priority="1" operator="greaterThan">
      <formula>0</formula>
    </cfRule>
  </conditionalFormatting>
  <hyperlinks>
    <hyperlink ref="G4" location="Overall_Error_Check" tooltip="Go to Overall Error Check" display="Overall_Error_Check" xr:uid="{6D0B237B-6697-4C47-BF7D-8535AAF9626D}"/>
    <hyperlink ref="A3:E3" location="HL_Navigator" tooltip="Go to Navigator (Table of Contents)" display="Navigator" xr:uid="{F29CC0EC-364C-4E6F-A52C-0C1648038495}"/>
    <hyperlink ref="A3" location="HL_Navigator" display="Navigator" xr:uid="{FE9D2A87-AA8E-4E44-99A6-B04FD8BAB445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outlinePr summaryBelow="0"/>
  </sheetPr>
  <dimension ref="A1:T23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5" width="3.7109375" customWidth="1"/>
    <col min="7" max="7" width="22.140625" customWidth="1"/>
    <col min="8" max="8" width="10.7109375" customWidth="1"/>
    <col min="10" max="14" width="10.7109375" customWidth="1"/>
  </cols>
  <sheetData>
    <row r="1" spans="1:20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Timing</v>
      </c>
      <c r="I1" s="73"/>
      <c r="J1" s="73"/>
    </row>
    <row r="2" spans="1:20" ht="18" x14ac:dyDescent="0.25">
      <c r="A2" s="16" t="str">
        <f ca="1">Model_Name</f>
        <v>Chapter 3.3 - SP Pro-Rating Over Time Example.xlsx</v>
      </c>
    </row>
    <row r="3" spans="1:20" x14ac:dyDescent="0.2">
      <c r="A3" s="73" t="s">
        <v>1</v>
      </c>
      <c r="B3" s="73"/>
      <c r="C3" s="73"/>
      <c r="D3" s="73"/>
      <c r="E3" s="73"/>
    </row>
    <row r="4" spans="1:20" ht="14.25" x14ac:dyDescent="0.2">
      <c r="B4" t="s">
        <v>2</v>
      </c>
      <c r="F4" s="1">
        <f>Overall_Error_Check</f>
        <v>0</v>
      </c>
    </row>
    <row r="5" spans="1:20" x14ac:dyDescent="0.2">
      <c r="J5" s="39">
        <f ca="1">J$7</f>
        <v>44196</v>
      </c>
      <c r="K5" s="39">
        <f ca="1">K$7</f>
        <v>44561</v>
      </c>
      <c r="L5" s="39">
        <f ca="1">L$7</f>
        <v>44926</v>
      </c>
      <c r="M5" s="39">
        <f ca="1">M$7</f>
        <v>45291</v>
      </c>
      <c r="N5" s="39">
        <f ca="1">N$7</f>
        <v>45657</v>
      </c>
      <c r="O5" s="39">
        <f t="shared" ref="O5:S5" ca="1" si="0">O$7</f>
        <v>46022</v>
      </c>
      <c r="P5" s="39">
        <f t="shared" ca="1" si="0"/>
        <v>46387</v>
      </c>
      <c r="Q5" s="39">
        <f t="shared" ca="1" si="0"/>
        <v>46752</v>
      </c>
      <c r="R5" s="39">
        <f t="shared" ca="1" si="0"/>
        <v>47118</v>
      </c>
      <c r="S5" s="39">
        <f t="shared" ca="1" si="0"/>
        <v>47483</v>
      </c>
    </row>
    <row r="6" spans="1:20" outlineLevel="1" x14ac:dyDescent="0.2">
      <c r="C6" t="s">
        <v>71</v>
      </c>
      <c r="J6" s="38">
        <f t="shared" ref="J6:S6" ca="1" si="1">IF(J$9=1,Model_Start_Date,I$7+1)</f>
        <v>43831</v>
      </c>
      <c r="K6" s="38">
        <f t="shared" ca="1" si="1"/>
        <v>44197</v>
      </c>
      <c r="L6" s="38">
        <f t="shared" ca="1" si="1"/>
        <v>44562</v>
      </c>
      <c r="M6" s="38">
        <f t="shared" ca="1" si="1"/>
        <v>44927</v>
      </c>
      <c r="N6" s="38">
        <f t="shared" ca="1" si="1"/>
        <v>45292</v>
      </c>
      <c r="O6" s="38">
        <f t="shared" ca="1" si="1"/>
        <v>45658</v>
      </c>
      <c r="P6" s="38">
        <f t="shared" ca="1" si="1"/>
        <v>46023</v>
      </c>
      <c r="Q6" s="38">
        <f t="shared" ca="1" si="1"/>
        <v>46388</v>
      </c>
      <c r="R6" s="38">
        <f t="shared" ca="1" si="1"/>
        <v>46753</v>
      </c>
      <c r="S6" s="38">
        <f t="shared" ca="1" si="1"/>
        <v>47119</v>
      </c>
    </row>
    <row r="7" spans="1:20" outlineLevel="1" x14ac:dyDescent="0.2">
      <c r="C7" t="s">
        <v>72</v>
      </c>
      <c r="J7" s="38">
        <f t="shared" ref="J7:S7" ca="1" si="2">EOMONTH(J$6,MOD(Periodicity+Reporting_Month_Factor-MONTH(J$6),Periodicity))</f>
        <v>44196</v>
      </c>
      <c r="K7" s="38">
        <f t="shared" ca="1" si="2"/>
        <v>44561</v>
      </c>
      <c r="L7" s="38">
        <f t="shared" ca="1" si="2"/>
        <v>44926</v>
      </c>
      <c r="M7" s="38">
        <f t="shared" ca="1" si="2"/>
        <v>45291</v>
      </c>
      <c r="N7" s="38">
        <f t="shared" ca="1" si="2"/>
        <v>45657</v>
      </c>
      <c r="O7" s="38">
        <f t="shared" ca="1" si="2"/>
        <v>46022</v>
      </c>
      <c r="P7" s="38">
        <f t="shared" ca="1" si="2"/>
        <v>46387</v>
      </c>
      <c r="Q7" s="38">
        <f t="shared" ca="1" si="2"/>
        <v>46752</v>
      </c>
      <c r="R7" s="38">
        <f t="shared" ca="1" si="2"/>
        <v>47118</v>
      </c>
      <c r="S7" s="38">
        <f t="shared" ca="1" si="2"/>
        <v>47483</v>
      </c>
    </row>
    <row r="8" spans="1:20" outlineLevel="1" x14ac:dyDescent="0.2">
      <c r="C8" t="s">
        <v>74</v>
      </c>
      <c r="J8" s="34">
        <f ca="1">J7-J6+1</f>
        <v>366</v>
      </c>
      <c r="K8" s="34">
        <f t="shared" ref="K8:N8" ca="1" si="3">K7-K6+1</f>
        <v>365</v>
      </c>
      <c r="L8" s="34">
        <f t="shared" ca="1" si="3"/>
        <v>365</v>
      </c>
      <c r="M8" s="34">
        <f t="shared" ca="1" si="3"/>
        <v>365</v>
      </c>
      <c r="N8" s="34">
        <f t="shared" ca="1" si="3"/>
        <v>366</v>
      </c>
      <c r="O8" s="34">
        <f t="shared" ref="O8:S8" ca="1" si="4">O7-O6+1</f>
        <v>365</v>
      </c>
      <c r="P8" s="34">
        <f t="shared" ca="1" si="4"/>
        <v>365</v>
      </c>
      <c r="Q8" s="34">
        <f t="shared" ca="1" si="4"/>
        <v>365</v>
      </c>
      <c r="R8" s="34">
        <f t="shared" ca="1" si="4"/>
        <v>366</v>
      </c>
      <c r="S8" s="34">
        <f t="shared" ca="1" si="4"/>
        <v>365</v>
      </c>
    </row>
    <row r="9" spans="1:20" ht="12.75" outlineLevel="1" x14ac:dyDescent="0.2">
      <c r="C9" t="s">
        <v>73</v>
      </c>
      <c r="I9" s="23"/>
      <c r="J9" s="34">
        <f>N(I$9)+1</f>
        <v>1</v>
      </c>
      <c r="K9" s="34">
        <f t="shared" ref="K9:N9" si="5">N(J$9)+1</f>
        <v>2</v>
      </c>
      <c r="L9" s="34">
        <f t="shared" si="5"/>
        <v>3</v>
      </c>
      <c r="M9" s="34">
        <f t="shared" si="5"/>
        <v>4</v>
      </c>
      <c r="N9" s="34">
        <f t="shared" si="5"/>
        <v>5</v>
      </c>
      <c r="O9" s="34">
        <f t="shared" ref="O9" si="6">N(N$9)+1</f>
        <v>6</v>
      </c>
      <c r="P9" s="34">
        <f t="shared" ref="P9" si="7">N(O$9)+1</f>
        <v>7</v>
      </c>
      <c r="Q9" s="34">
        <f t="shared" ref="Q9" si="8">N(P$9)+1</f>
        <v>8</v>
      </c>
      <c r="R9" s="34">
        <f t="shared" ref="R9" si="9">N(Q$9)+1</f>
        <v>9</v>
      </c>
      <c r="S9" s="34">
        <f t="shared" ref="S9" si="10">N(R$9)+1</f>
        <v>10</v>
      </c>
    </row>
    <row r="10" spans="1:20" x14ac:dyDescent="0.2">
      <c r="A10" s="11"/>
    </row>
    <row r="11" spans="1:20" ht="16.5" thickBot="1" x14ac:dyDescent="0.3">
      <c r="B11" s="43">
        <f>MAX($B$10:$B10)+1</f>
        <v>1</v>
      </c>
      <c r="C11" s="41" t="s">
        <v>75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2.75" thickTop="1" x14ac:dyDescent="0.2"/>
    <row r="13" spans="1:20" ht="16.5" x14ac:dyDescent="0.25">
      <c r="C13" s="3" t="s">
        <v>76</v>
      </c>
    </row>
    <row r="15" spans="1:20" x14ac:dyDescent="0.2">
      <c r="D15" t="s">
        <v>77</v>
      </c>
      <c r="H15" s="50">
        <f ca="1">DATE(YEAR(TODAY()),1,1)</f>
        <v>43831</v>
      </c>
    </row>
    <row r="17" spans="4:9" x14ac:dyDescent="0.2">
      <c r="D17" t="s">
        <v>78</v>
      </c>
      <c r="H17" s="44">
        <v>12</v>
      </c>
    </row>
    <row r="19" spans="4:9" x14ac:dyDescent="0.2">
      <c r="D19" t="s">
        <v>79</v>
      </c>
      <c r="H19" s="44">
        <v>12</v>
      </c>
      <c r="I19" s="19" t="str">
        <f ca="1">"e.g. "&amp;TEXT(DATE(YEAR(Model_Start_Date)+IF(Example_Reporting_Month&lt;MONTH(Model_Start_Date),1,0),Example_Reporting_Month+1,1)-1,"dd-Mmm-yy")</f>
        <v>e.g. 31-Dec-20</v>
      </c>
    </row>
    <row r="21" spans="4:9" x14ac:dyDescent="0.2">
      <c r="D21" t="s">
        <v>80</v>
      </c>
      <c r="H21" s="35">
        <f>MOD(Example_Reporting_Month-1,Periodicity)+1</f>
        <v>12</v>
      </c>
    </row>
    <row r="23" spans="4:9" x14ac:dyDescent="0.2">
      <c r="D23" t="s">
        <v>81</v>
      </c>
      <c r="H23" s="51">
        <v>12</v>
      </c>
    </row>
  </sheetData>
  <mergeCells count="2">
    <mergeCell ref="I1:J1"/>
    <mergeCell ref="A3:E3"/>
  </mergeCells>
  <conditionalFormatting sqref="F4">
    <cfRule type="cellIs" dxfId="4" priority="1" operator="notEqual">
      <formula>0</formula>
    </cfRule>
  </conditionalFormatting>
  <dataValidations count="1">
    <dataValidation type="list" allowBlank="1" showInputMessage="1" showErrorMessage="1" sqref="H17" xr:uid="{00000000-0002-0000-0400-000000000000}">
      <formula1>"1,2,3,4,6,12"</formula1>
    </dataValidation>
  </dataValidations>
  <hyperlinks>
    <hyperlink ref="F4" location="Overall_Error_Check" tooltip="Go to Overall Error Check" display="Overall_Error_Check" xr:uid="{00000000-0004-0000-0400-000000000000}"/>
    <hyperlink ref="A3:E3" location="HL_Navigator" tooltip="Go to Navigator (Table of Contents)" display="Navigator" xr:uid="{00000000-0004-0000-0400-000001000000}"/>
    <hyperlink ref="A3" location="HL_Navigator" display="Navigator" xr:uid="{00000000-0004-0000-0400-000002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73"/>
      <c r="J1" s="73"/>
    </row>
    <row r="2" spans="1:11" ht="18" x14ac:dyDescent="0.25">
      <c r="A2" s="16" t="str">
        <f ca="1">Model_Name</f>
        <v>Chapter 3.3 - SP Pro-Rating Over Time Example.xlsx</v>
      </c>
    </row>
    <row r="3" spans="1:11" x14ac:dyDescent="0.2">
      <c r="A3" s="73" t="s">
        <v>1</v>
      </c>
      <c r="B3" s="73"/>
      <c r="C3" s="73"/>
      <c r="D3" s="73"/>
      <c r="E3" s="73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3">
        <f>MAX($B$5:$B5)+1</f>
        <v>1</v>
      </c>
      <c r="C6" s="2" t="s">
        <v>66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67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68</v>
      </c>
    </row>
    <row r="11" spans="1:11" outlineLevel="1" x14ac:dyDescent="0.2"/>
    <row r="12" spans="1:11" ht="14.25" outlineLevel="1" x14ac:dyDescent="0.2">
      <c r="E12" t="s">
        <v>144</v>
      </c>
      <c r="I12" s="37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I17">
    <cfRule type="cellIs" dxfId="3" priority="5" operator="notEqual">
      <formula>0</formula>
    </cfRule>
  </conditionalFormatting>
  <conditionalFormatting sqref="I12">
    <cfRule type="cellIs" dxfId="2" priority="4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F4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31</vt:i4>
      </vt:variant>
    </vt:vector>
  </HeadingPairs>
  <TitlesOfParts>
    <vt:vector size="39" baseType="lpstr">
      <vt:lpstr>Cover</vt:lpstr>
      <vt:lpstr>Navigator</vt:lpstr>
      <vt:lpstr>Style Guide</vt:lpstr>
      <vt:lpstr>Model Parameters</vt:lpstr>
      <vt:lpstr>Staffing Assumptions</vt:lpstr>
      <vt:lpstr>Staffing Summary</vt:lpstr>
      <vt:lpstr>Timing</vt:lpstr>
      <vt:lpstr>Error Checks</vt:lpstr>
      <vt:lpstr>Client_Name</vt:lpstr>
      <vt:lpstr>Days_in_Year</vt:lpstr>
      <vt:lpstr>Example_Reporting_Month</vt:lpstr>
      <vt:lpstr>HL_1</vt:lpstr>
      <vt:lpstr>HL_3</vt:lpstr>
      <vt:lpstr>HL_4</vt:lpstr>
      <vt:lpstr>HL_5</vt:lpstr>
      <vt:lpstr>HL_6</vt:lpstr>
      <vt:lpstr>HL_7</vt:lpstr>
      <vt:lpstr>HL_8</vt:lpstr>
      <vt:lpstr>HL_Model_Parameters</vt:lpstr>
      <vt:lpstr>HL_Navigator</vt:lpstr>
      <vt:lpstr>Hours_in_Working_Week</vt:lpstr>
      <vt:lpstr>LU_Yes_No</vt:lpstr>
      <vt:lpstr>Model_Name</vt:lpstr>
      <vt:lpstr>Model_Start_Date</vt:lpstr>
      <vt:lpstr>Months_in_Half_Yr</vt:lpstr>
      <vt:lpstr>Months_in_Month</vt:lpstr>
      <vt:lpstr>Months_in_Quarter</vt:lpstr>
      <vt:lpstr>Months_in_Year</vt:lpstr>
      <vt:lpstr>No</vt:lpstr>
      <vt:lpstr>Overall_Error_Check</vt:lpstr>
      <vt:lpstr>Periodicity</vt:lpstr>
      <vt:lpstr>Probation_Duration</vt:lpstr>
      <vt:lpstr>Quarters_in_Year</vt:lpstr>
      <vt:lpstr>Reporting_Month_Factor</vt:lpstr>
      <vt:lpstr>Rounding_Accuracy</vt:lpstr>
      <vt:lpstr>Thousand</vt:lpstr>
      <vt:lpstr>Very_Large_Number</vt:lpstr>
      <vt:lpstr>Very_Small_Number</vt:lpstr>
      <vt:lpstr>Yes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Tim Heng</cp:lastModifiedBy>
  <dcterms:created xsi:type="dcterms:W3CDTF">2012-10-20T20:39:47Z</dcterms:created>
  <dcterms:modified xsi:type="dcterms:W3CDTF">2020-05-26T06:17:03Z</dcterms:modified>
</cp:coreProperties>
</file>