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Hanh 27 May 2020\"/>
    </mc:Choice>
  </mc:AlternateContent>
  <xr:revisionPtr revIDLastSave="0" documentId="13_ncr:1_{3CC58263-9F4C-4301-A18B-E683B7EA5567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Cover" sheetId="1" r:id="rId1"/>
    <sheet name="Navigator" sheetId="3" r:id="rId2"/>
    <sheet name="Style Guide" sheetId="4" r:id="rId3"/>
    <sheet name="Timing" sheetId="6" r:id="rId4"/>
    <sheet name="Model Parameters" sheetId="2" r:id="rId5"/>
    <sheet name="Single _SUMIF_Ex1a" sheetId="21" r:id="rId6"/>
    <sheet name="Single _SUMIF_Ex1b" sheetId="14" r:id="rId7"/>
    <sheet name="Single _SUMIF_Ex_NOT" sheetId="23" r:id="rId8"/>
    <sheet name="SUMIFS_Ex" sheetId="22" r:id="rId9"/>
    <sheet name="AVERAGEIFS" sheetId="28" r:id="rId10"/>
    <sheet name="SUMIFS_Ex (2)" sheetId="25" r:id="rId11"/>
    <sheet name="SUMIFS_Ex (3)" sheetId="26" r:id="rId12"/>
    <sheet name="SUMIFS_Ex (4)" sheetId="27" r:id="rId13"/>
    <sheet name="SUMIFS_Ex (5)" sheetId="31" r:id="rId14"/>
    <sheet name="SUMIFS_Ex (6)" sheetId="32" r:id="rId15"/>
    <sheet name="Concatenated_SUMIF_Ex" sheetId="15" r:id="rId16"/>
    <sheet name="DSUM_Ex1" sheetId="16" r:id="rId17"/>
    <sheet name="DSUM_Ex2" sheetId="24" r:id="rId18"/>
    <sheet name="Example_Sales_Report" sheetId="17" r:id="rId19"/>
    <sheet name="SUMPRODUCT_Ex" sheetId="18" r:id="rId20"/>
    <sheet name="SUMPRODUCT Comprehensive" sheetId="30" r:id="rId21"/>
    <sheet name="SUMPRODUCT_Ex (2)" sheetId="29" r:id="rId22"/>
    <sheet name="Error_Text" sheetId="19" r:id="rId23"/>
    <sheet name="Error_NA" sheetId="20" r:id="rId24"/>
    <sheet name="Comprehensive Example" sheetId="33" r:id="rId25"/>
    <sheet name="Comprehensive Example_ERROR" sheetId="34" r:id="rId26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10">AVERAGEIFS!$A$3</definedName>
    <definedName name="HL_11">'SUMIFS_Ex (2)'!$A$3</definedName>
    <definedName name="HL_12">'SUMIFS_Ex (3)'!$A$3</definedName>
    <definedName name="HL_13">'SUMIFS_Ex (4)'!$A$3</definedName>
    <definedName name="HL_14">'SUMIFS_Ex (5)'!$A$3</definedName>
    <definedName name="HL_15">'SUMIFS_Ex (6)'!$A$3</definedName>
    <definedName name="HL_16">Concatenated_SUMIF_Ex!$A$3</definedName>
    <definedName name="HL_17">DSUM_Ex1!$A$3</definedName>
    <definedName name="HL_18">DSUM_Ex2!$A$3</definedName>
    <definedName name="HL_19">Example_Sales_Report!$A$3</definedName>
    <definedName name="HL_20">SUMPRODUCT_Ex!$A$3</definedName>
    <definedName name="HL_21">'SUMPRODUCT Comprehensive'!$A$3</definedName>
    <definedName name="HL_22">'SUMPRODUCT_Ex (2)'!$A$3</definedName>
    <definedName name="HL_23">Error_Text!$A$3</definedName>
    <definedName name="HL_24">Error_NA!$A$3</definedName>
    <definedName name="HL_25">'Comprehensive Example'!$A$3</definedName>
    <definedName name="HL_26">'Comprehensive Example_ERROR'!$A$3</definedName>
    <definedName name="HL_3">'Style Guide'!$A$3</definedName>
    <definedName name="HL_4">Timing!$A$3</definedName>
    <definedName name="HL_5">'Model Parameters'!$A$3</definedName>
    <definedName name="HL_6">'Single _SUMIF_Ex1a'!$A$3</definedName>
    <definedName name="HL_7">'Single _SUMIF_Ex1b'!$A$3</definedName>
    <definedName name="HL_8">'Single _SUMIF_Ex_NOT'!$A$3</definedName>
    <definedName name="HL_9">SUMIFS_Ex!$A$3</definedName>
    <definedName name="HL_Model_Parameters">'Model Parameters'!$A$5</definedName>
    <definedName name="HL_Navigator">Navigator!$A$1</definedName>
    <definedName name="LI_BusinessUnits">'Model Parameters'!$G$66:$G$69</definedName>
    <definedName name="LI_ProductTypes">'Model Parameters'!$G$74:$G$76</definedName>
    <definedName name="Macro_NavHeading">Navigator!$C$7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34" l="1" a="1"/>
  <c r="K39" i="34" s="1"/>
  <c r="K41" i="34" s="1"/>
  <c r="J39" i="34" a="1"/>
  <c r="J39" i="34" s="1"/>
  <c r="J41" i="34" s="1"/>
  <c r="K40" i="34" a="1"/>
  <c r="K40" i="34" s="1"/>
  <c r="J40" i="34" a="1"/>
  <c r="J40" i="34" s="1"/>
  <c r="K41" i="33" a="1"/>
  <c r="K41" i="33"/>
  <c r="J41" i="33" a="1"/>
  <c r="J41" i="33" s="1"/>
  <c r="I41" i="33" a="1"/>
  <c r="I41" i="33" s="1"/>
  <c r="K42" i="33" a="1"/>
  <c r="K42" i="33" s="1"/>
  <c r="J42" i="33" a="1"/>
  <c r="J42" i="33" s="1"/>
  <c r="K28" i="30" a="1"/>
  <c r="K28" i="30" s="1"/>
  <c r="L34" i="34"/>
  <c r="O33" i="34"/>
  <c r="N33" i="34"/>
  <c r="L33" i="34"/>
  <c r="K33" i="34"/>
  <c r="J33" i="34"/>
  <c r="I33" i="34"/>
  <c r="H33" i="34"/>
  <c r="G33" i="34"/>
  <c r="O32" i="34"/>
  <c r="N32" i="34"/>
  <c r="M32" i="34"/>
  <c r="L32" i="34"/>
  <c r="K32" i="34"/>
  <c r="J32" i="34"/>
  <c r="I32" i="34"/>
  <c r="H32" i="34"/>
  <c r="G32" i="34"/>
  <c r="O31" i="34"/>
  <c r="O34" i="34" s="1"/>
  <c r="N31" i="34"/>
  <c r="N34" i="34" s="1"/>
  <c r="M31" i="34"/>
  <c r="L31" i="34"/>
  <c r="K31" i="34"/>
  <c r="J31" i="34"/>
  <c r="I31" i="34"/>
  <c r="I34" i="34" s="1"/>
  <c r="H31" i="34"/>
  <c r="G31" i="34"/>
  <c r="O30" i="34"/>
  <c r="N30" i="34"/>
  <c r="M30" i="34"/>
  <c r="L30" i="34"/>
  <c r="K30" i="34"/>
  <c r="K34" i="34" s="1"/>
  <c r="J30" i="34"/>
  <c r="J34" i="34" s="1"/>
  <c r="I30" i="34"/>
  <c r="H30" i="34"/>
  <c r="G30" i="34"/>
  <c r="M18" i="34"/>
  <c r="M33" i="34" s="1"/>
  <c r="J15" i="34"/>
  <c r="B6" i="34"/>
  <c r="A1" i="34"/>
  <c r="G31" i="33"/>
  <c r="H31" i="33"/>
  <c r="I31" i="33"/>
  <c r="J31" i="33"/>
  <c r="K31" i="33"/>
  <c r="L31" i="33"/>
  <c r="M31" i="33"/>
  <c r="N31" i="33"/>
  <c r="O31" i="33"/>
  <c r="G32" i="33"/>
  <c r="H32" i="33"/>
  <c r="I32" i="33"/>
  <c r="J32" i="33"/>
  <c r="K32" i="33"/>
  <c r="L32" i="33"/>
  <c r="M32" i="33"/>
  <c r="N32" i="33"/>
  <c r="O32" i="33"/>
  <c r="G33" i="33"/>
  <c r="H33" i="33"/>
  <c r="I33" i="33"/>
  <c r="J33" i="33"/>
  <c r="K33" i="33"/>
  <c r="L33" i="33"/>
  <c r="M33" i="33"/>
  <c r="N33" i="33"/>
  <c r="O33" i="33"/>
  <c r="H30" i="33"/>
  <c r="I30" i="33"/>
  <c r="I34" i="33" s="1"/>
  <c r="K30" i="33"/>
  <c r="L30" i="33"/>
  <c r="M30" i="33"/>
  <c r="N30" i="33"/>
  <c r="O30" i="33"/>
  <c r="G30" i="33"/>
  <c r="J30" i="33"/>
  <c r="B6" i="33"/>
  <c r="A1" i="33"/>
  <c r="J36" i="33"/>
  <c r="I45" i="33"/>
  <c r="K43" i="33" l="1"/>
  <c r="M34" i="33" a="1"/>
  <c r="M34" i="33" s="1"/>
  <c r="L34" i="33" a="1"/>
  <c r="L34" i="33" s="1"/>
  <c r="K34" i="33" a="1"/>
  <c r="K34" i="33" s="1"/>
  <c r="I42" i="33"/>
  <c r="I43" i="33" s="1"/>
  <c r="J34" i="33" a="1"/>
  <c r="J34" i="33" s="1"/>
  <c r="O34" i="33" a="1"/>
  <c r="O34" i="33" s="1"/>
  <c r="N34" i="33" a="1"/>
  <c r="N34" i="33" s="1"/>
  <c r="J43" i="33"/>
  <c r="M34" i="34"/>
  <c r="G29" i="32"/>
  <c r="I15" i="32"/>
  <c r="H21" i="32"/>
  <c r="H20" i="32"/>
  <c r="H19" i="32"/>
  <c r="H18" i="32"/>
  <c r="H17" i="32"/>
  <c r="H16" i="32"/>
  <c r="H15" i="32"/>
  <c r="H14" i="32"/>
  <c r="H13" i="32"/>
  <c r="H12" i="32"/>
  <c r="A1" i="32"/>
  <c r="G29" i="31"/>
  <c r="H21" i="31"/>
  <c r="H20" i="31"/>
  <c r="H19" i="31"/>
  <c r="H18" i="31"/>
  <c r="H17" i="31"/>
  <c r="H16" i="31"/>
  <c r="H15" i="31"/>
  <c r="H14" i="31"/>
  <c r="H13" i="31"/>
  <c r="H12" i="31"/>
  <c r="A1" i="31"/>
  <c r="H29" i="31"/>
  <c r="H29" i="32"/>
  <c r="L27" i="30" l="1" a="1"/>
  <c r="L27" i="30" s="1"/>
  <c r="K27" i="30" a="1"/>
  <c r="K27" i="30" s="1"/>
  <c r="J28" i="30"/>
  <c r="J27" i="30" a="1"/>
  <c r="J27" i="30" s="1"/>
  <c r="L26" i="30"/>
  <c r="L28" i="30" s="1" a="1"/>
  <c r="L28" i="30" s="1"/>
  <c r="L29" i="30" s="1"/>
  <c r="K26" i="30"/>
  <c r="A1" i="30"/>
  <c r="G26" i="29" a="1"/>
  <c r="G26" i="29" s="1"/>
  <c r="A1" i="29"/>
  <c r="G29" i="18" a="1"/>
  <c r="G29" i="18" s="1"/>
  <c r="H24" i="17"/>
  <c r="G29" i="28"/>
  <c r="A1" i="28"/>
  <c r="J31" i="30"/>
  <c r="H29" i="28"/>
  <c r="G28" i="29"/>
  <c r="H26" i="17"/>
  <c r="J29" i="30" l="1"/>
  <c r="K29" i="30"/>
  <c r="G29" i="27"/>
  <c r="H21" i="27"/>
  <c r="H20" i="27"/>
  <c r="H19" i="27"/>
  <c r="H18" i="27"/>
  <c r="H17" i="27"/>
  <c r="H16" i="27"/>
  <c r="H15" i="27"/>
  <c r="H14" i="27"/>
  <c r="H13" i="27"/>
  <c r="H12" i="27"/>
  <c r="A1" i="27"/>
  <c r="G29" i="26"/>
  <c r="H21" i="26"/>
  <c r="H20" i="26"/>
  <c r="H19" i="26"/>
  <c r="H18" i="26"/>
  <c r="H17" i="26"/>
  <c r="H16" i="26"/>
  <c r="H15" i="26"/>
  <c r="H14" i="26"/>
  <c r="H13" i="26"/>
  <c r="H12" i="26"/>
  <c r="A1" i="26"/>
  <c r="H29" i="27"/>
  <c r="H29" i="26"/>
  <c r="G35" i="14" l="1"/>
  <c r="G37" i="22"/>
  <c r="G40" i="22" s="1"/>
  <c r="G29" i="22"/>
  <c r="H40" i="22"/>
  <c r="H29" i="22"/>
  <c r="H38" i="14"/>
  <c r="H29" i="25"/>
  <c r="H35" i="14"/>
  <c r="H37" i="22"/>
  <c r="H21" i="25" l="1"/>
  <c r="H20" i="25"/>
  <c r="H19" i="25"/>
  <c r="H18" i="25"/>
  <c r="H17" i="25"/>
  <c r="H16" i="25"/>
  <c r="H15" i="25"/>
  <c r="H14" i="25"/>
  <c r="H13" i="25"/>
  <c r="H12" i="25"/>
  <c r="A1" i="25"/>
  <c r="G28" i="14"/>
  <c r="G38" i="14" s="1"/>
  <c r="G28" i="21"/>
  <c r="G29" i="25" l="1"/>
  <c r="G33" i="20" a="1"/>
  <c r="G33" i="20" s="1"/>
  <c r="G29" i="20"/>
  <c r="G31" i="20"/>
  <c r="H33" i="20"/>
  <c r="H31" i="20"/>
  <c r="G30" i="24" l="1"/>
  <c r="A1" i="24"/>
  <c r="H11" i="15"/>
  <c r="G28" i="23"/>
  <c r="A1" i="23"/>
  <c r="A1" i="20"/>
  <c r="A1" i="19"/>
  <c r="A1" i="18"/>
  <c r="A1" i="17"/>
  <c r="A1" i="16"/>
  <c r="A1" i="15"/>
  <c r="A1" i="22"/>
  <c r="A1" i="21"/>
  <c r="A1" i="14"/>
  <c r="I33" i="16"/>
  <c r="H28" i="21"/>
  <c r="G31" i="18"/>
  <c r="H21" i="17"/>
  <c r="H28" i="14"/>
  <c r="H28" i="15"/>
  <c r="H29" i="20"/>
  <c r="H30" i="24"/>
  <c r="H28" i="23"/>
  <c r="G31" i="19" l="1"/>
  <c r="G29" i="19"/>
  <c r="H17" i="17" l="1"/>
  <c r="H16" i="17"/>
  <c r="H15" i="17"/>
  <c r="H14" i="17"/>
  <c r="H13" i="17"/>
  <c r="H12" i="17"/>
  <c r="G29" i="16"/>
  <c r="H21" i="15"/>
  <c r="H20" i="15"/>
  <c r="H19" i="15"/>
  <c r="H18" i="15"/>
  <c r="H17" i="15"/>
  <c r="H16" i="15"/>
  <c r="H15" i="15"/>
  <c r="H14" i="15"/>
  <c r="G28" i="15" s="1"/>
  <c r="H13" i="15"/>
  <c r="H12" i="15"/>
  <c r="G76" i="2"/>
  <c r="G75" i="2"/>
  <c r="G74" i="2"/>
  <c r="G69" i="2"/>
  <c r="G68" i="2"/>
  <c r="G67" i="2"/>
  <c r="G66" i="2"/>
  <c r="H19" i="17" l="1"/>
  <c r="J9" i="6"/>
  <c r="K9" i="6" s="1"/>
  <c r="L9" i="6" s="1"/>
  <c r="M9" i="6" s="1"/>
  <c r="H21" i="6"/>
  <c r="H15" i="6"/>
  <c r="I19" i="6" l="1"/>
  <c r="I37" i="4"/>
  <c r="N9" i="6"/>
  <c r="J6" i="6"/>
  <c r="J7" i="6" s="1"/>
  <c r="J5" i="6" l="1"/>
  <c r="K6" i="6"/>
  <c r="K7" i="6" s="1"/>
  <c r="K5" i="6" l="1"/>
  <c r="L6" i="6"/>
  <c r="L7" i="6" s="1"/>
  <c r="L5" i="6" l="1"/>
  <c r="M6" i="6"/>
  <c r="M7" i="6" s="1"/>
  <c r="M5" i="6" l="1"/>
  <c r="N6" i="6"/>
  <c r="N7" i="6" s="1"/>
  <c r="N5" i="6" s="1"/>
  <c r="B11" i="6" l="1"/>
  <c r="A1" i="6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34" s="1"/>
  <c r="B6" i="2"/>
  <c r="A2" i="32" l="1"/>
  <c r="A2" i="33"/>
  <c r="A2" i="30"/>
  <c r="A2" i="31"/>
  <c r="A2" i="28"/>
  <c r="A2" i="29"/>
  <c r="A2" i="26"/>
  <c r="A2" i="27"/>
  <c r="A2" i="24"/>
  <c r="A2" i="25"/>
  <c r="A2" i="20"/>
  <c r="A2" i="23"/>
  <c r="A2" i="18"/>
  <c r="A2" i="19"/>
  <c r="A2" i="16"/>
  <c r="A2" i="17"/>
  <c r="A2" i="22"/>
  <c r="A2" i="15"/>
  <c r="A2" i="14"/>
  <c r="A2" i="21"/>
  <c r="B15" i="2"/>
  <c r="B35" i="2" s="1"/>
  <c r="A2" i="6"/>
  <c r="A2" i="2"/>
  <c r="B56" i="4"/>
  <c r="A2" i="4"/>
  <c r="A2" i="3"/>
  <c r="C6" i="1"/>
  <c r="J8" i="6"/>
  <c r="K8" i="6"/>
  <c r="L8" i="6"/>
  <c r="M8" i="6"/>
  <c r="N8" i="6"/>
  <c r="B6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<sst xmlns="http://schemas.openxmlformats.org/spreadsheetml/2006/main" count="679" uniqueCount="230">
  <si>
    <t>Model Parameters</t>
  </si>
  <si>
    <t>Navigator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</si>
  <si>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</si>
  <si>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</si>
  <si>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</si>
  <si>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</si>
  <si>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</si>
  <si>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</si>
  <si>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</si>
  <si>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</si>
  <si>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</si>
  <si>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</si>
  <si>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</si>
  <si>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</si>
  <si>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</si>
  <si>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</si>
  <si>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</si>
  <si>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</si>
  <si>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</si>
  <si>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</si>
  <si>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</si>
  <si>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</si>
  <si>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</si>
  <si>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</si>
  <si>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</si>
  <si>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</si>
  <si>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</si>
  <si>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</si>
  <si>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</si>
  <si>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</si>
  <si>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</si>
  <si>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</si>
  <si>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</si>
  <si>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</si>
  <si>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</si>
  <si>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</si>
  <si>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</si>
  <si>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</si>
  <si>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</si>
  <si>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</si>
  <si>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</si>
  <si>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</si>
  <si>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</si>
  <si>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</si>
  <si>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</si>
  <si>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</si>
  <si>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</si>
  <si>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</si>
  <si>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</si>
  <si>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</si>
  <si>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</si>
  <si>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</si>
  <si>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</si>
  <si>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</si>
  <si>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</si>
  <si>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</si>
  <si>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</si>
  <si>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</si>
  <si>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</si>
  <si>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</si>
  <si>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</si>
  <si>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</si>
  <si>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</si>
  <si>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</si>
  <si>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</si>
  <si>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</si>
  <si>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</si>
  <si>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</si>
  <si>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</si>
  <si>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</si>
  <si>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</si>
  <si>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</si>
  <si>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</si>
  <si>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</si>
  <si>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</si>
  <si>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</si>
  <si>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</si>
  <si>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</si>
  <si>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 xml:space="preserve">SumProduct </t>
  </si>
  <si>
    <t>Technical assumptions</t>
  </si>
  <si>
    <t>Model Information</t>
  </si>
  <si>
    <t>Unit</t>
  </si>
  <si>
    <t>Boolean</t>
  </si>
  <si>
    <t>Percentage</t>
  </si>
  <si>
    <t>No of Days</t>
  </si>
  <si>
    <t>Year</t>
  </si>
  <si>
    <t>No of Years</t>
  </si>
  <si>
    <t>Multiuplier</t>
  </si>
  <si>
    <t>Financial Statement Abbreciations</t>
  </si>
  <si>
    <t>Income Statement</t>
  </si>
  <si>
    <t>Balance Sheet</t>
  </si>
  <si>
    <t>Cash Flow Statement</t>
  </si>
  <si>
    <t>#</t>
  </si>
  <si>
    <t>US$'000</t>
  </si>
  <si>
    <t>[1,0]</t>
  </si>
  <si>
    <t>%</t>
  </si>
  <si>
    <t># Days</t>
  </si>
  <si>
    <t># Year(s)</t>
  </si>
  <si>
    <t>x</t>
  </si>
  <si>
    <t>IS</t>
  </si>
  <si>
    <t>BS</t>
  </si>
  <si>
    <t>CFS</t>
  </si>
  <si>
    <t>Days_in_year</t>
  </si>
  <si>
    <t>Months_in_Month</t>
  </si>
  <si>
    <t>Months_in_Qtr</t>
  </si>
  <si>
    <t>Months_in_Half_Yr</t>
  </si>
  <si>
    <t>Months_in_Year</t>
  </si>
  <si>
    <t>Quarters_in_Year</t>
  </si>
  <si>
    <t>Rounding_Accuracy</t>
  </si>
  <si>
    <t>Very_Large_Number</t>
  </si>
  <si>
    <t>Very_Small_Number</t>
  </si>
  <si>
    <t>No_of_Days</t>
  </si>
  <si>
    <t>Multiplier</t>
  </si>
  <si>
    <t>Income_Statement</t>
  </si>
  <si>
    <t>Balance_Sheet</t>
  </si>
  <si>
    <t>Cash_Flow_Statement</t>
  </si>
  <si>
    <t>Total Sales</t>
  </si>
  <si>
    <t>X</t>
  </si>
  <si>
    <t>Z</t>
  </si>
  <si>
    <t>Y</t>
  </si>
  <si>
    <t>Business Unit</t>
  </si>
  <si>
    <t>Model Lists</t>
  </si>
  <si>
    <t>Business Units</t>
  </si>
  <si>
    <t>Product Types</t>
  </si>
  <si>
    <t>Product Type</t>
  </si>
  <si>
    <t>Sales</t>
  </si>
  <si>
    <t>SUMIF Example</t>
  </si>
  <si>
    <t>Dataset</t>
  </si>
  <si>
    <t>Business Unit &amp; Product Type</t>
  </si>
  <si>
    <t>DSUM Example</t>
  </si>
  <si>
    <t>SumProduct Example</t>
  </si>
  <si>
    <t>Unit Price</t>
  </si>
  <si>
    <t># Sales</t>
  </si>
  <si>
    <t>=SUMPRODUCT(($F$12:$F$21=$G$26)*($G$12:$G$21=$G$27)*$H$12:$H$21)</t>
  </si>
  <si>
    <t>=SUMIFS($H$12:$H$21,$F$12:$F$21,$G$26,$G$12:$G$21,$G$27)</t>
  </si>
  <si>
    <t>NA Error Example</t>
  </si>
  <si>
    <t>SUMIF Illustration</t>
  </si>
  <si>
    <t>NOT Business Unit</t>
  </si>
  <si>
    <t>Concatenated SUMIF Example</t>
  </si>
  <si>
    <t>1Z</t>
  </si>
  <si>
    <t>DSUM Criteria</t>
  </si>
  <si>
    <t>Example Sales Report</t>
  </si>
  <si>
    <t>Text Error Illustration</t>
  </si>
  <si>
    <t>????</t>
  </si>
  <si>
    <t>Single _SUMIF_Ex1a</t>
  </si>
  <si>
    <t>Single _SUMIF_Ex1b</t>
  </si>
  <si>
    <t>Single _SUMIF_Ex_NOT</t>
  </si>
  <si>
    <t>SUMIFS_Ex</t>
  </si>
  <si>
    <t>Concatenated_SUMIF_Ex</t>
  </si>
  <si>
    <t>DSUM_Ex1</t>
  </si>
  <si>
    <t>DSUM_Ex2</t>
  </si>
  <si>
    <t>Example_Sales_Report</t>
  </si>
  <si>
    <t>SUMPRODUCT_Ex</t>
  </si>
  <si>
    <t>Error_Text</t>
  </si>
  <si>
    <t>SUMIFS Illustration</t>
  </si>
  <si>
    <t>SUMPRODUCT Illustration</t>
  </si>
  <si>
    <t>SUMIFS Solution</t>
  </si>
  <si>
    <t>Long Formula Solution</t>
  </si>
  <si>
    <t>SUMPRODUCT Solution</t>
  </si>
  <si>
    <t>SUMPRODUCT</t>
  </si>
  <si>
    <t>SUMIFS</t>
  </si>
  <si>
    <t>Error_NA</t>
  </si>
  <si>
    <t>"Mega-Criterion"</t>
  </si>
  <si>
    <t>SUMIF Multiple Criteria Example</t>
  </si>
  <si>
    <t>COUNTIFS Illustration</t>
  </si>
  <si>
    <t>Total Count</t>
  </si>
  <si>
    <t>Therefore, Average Sale</t>
  </si>
  <si>
    <t>COUNTIF Illustration</t>
  </si>
  <si>
    <t>Weighted Average Example Using SUMIF and COUNTIF</t>
  </si>
  <si>
    <t>SUMIFS Multiple Criteria Example</t>
  </si>
  <si>
    <t>$400</t>
  </si>
  <si>
    <t>SUMIFS Multiple Criteria Example - An Issue</t>
  </si>
  <si>
    <t>Weighted Average with Multiple Criteria Example</t>
  </si>
  <si>
    <t>AVERAGEIFS Example</t>
  </si>
  <si>
    <t>AVERAGEIFS Illustration</t>
  </si>
  <si>
    <t>SUMPRODUCT Approach</t>
  </si>
  <si>
    <t>Summation</t>
  </si>
  <si>
    <t>Multiple Criteria SUMPRODUCT Example</t>
  </si>
  <si>
    <t>Another SUMPRODUCT Example</t>
  </si>
  <si>
    <t>Invoice No.</t>
  </si>
  <si>
    <t>Checked No.</t>
  </si>
  <si>
    <t>Amt</t>
  </si>
  <si>
    <t>Authorised to Pay</t>
  </si>
  <si>
    <t>Product Costing Model for a Retail Bank</t>
  </si>
  <si>
    <t>Test</t>
  </si>
  <si>
    <t>Type</t>
  </si>
  <si>
    <t>No. of apps per week</t>
  </si>
  <si>
    <t>Application Prep (Hours)</t>
  </si>
  <si>
    <t>Processing time (Hours)</t>
  </si>
  <si>
    <t>Review Time (Hours)</t>
  </si>
  <si>
    <t>Materials Prep (Hours)</t>
  </si>
  <si>
    <t>Back office costs ($)</t>
  </si>
  <si>
    <t>Front office costs($)</t>
  </si>
  <si>
    <t>Transaction account</t>
  </si>
  <si>
    <t>Standard</t>
  </si>
  <si>
    <t>Savings account</t>
  </si>
  <si>
    <t>Budget</t>
  </si>
  <si>
    <t>Credit card</t>
  </si>
  <si>
    <t>Mortgage</t>
  </si>
  <si>
    <t>Costs</t>
  </si>
  <si>
    <t>Cost / Hour ($)</t>
  </si>
  <si>
    <t>Value</t>
  </si>
  <si>
    <t>Various Data</t>
  </si>
  <si>
    <t>Summary Report</t>
  </si>
  <si>
    <t>Total</t>
  </si>
  <si>
    <t>Total cost</t>
  </si>
  <si>
    <t>Accounts</t>
  </si>
  <si>
    <t>Avg cost</t>
  </si>
  <si>
    <t>SUMIFS Multiple Criteria Example with an Ignored Error</t>
  </si>
  <si>
    <t>SUMIFS Multiple Criteria Example with an Error</t>
  </si>
  <si>
    <t>AVERAGEIFS</t>
  </si>
  <si>
    <t>SUMIFS_Ex (2)</t>
  </si>
  <si>
    <t>SUMIFS_Ex (3)</t>
  </si>
  <si>
    <t>SUMIFS_Ex (4)</t>
  </si>
  <si>
    <t>SUMIFS_Ex (5)</t>
  </si>
  <si>
    <t>SUMIFS_Ex (6)</t>
  </si>
  <si>
    <t>SUMPRODUCT Comprehensive</t>
  </si>
  <si>
    <t>SUMPRODUCT_Ex (2)</t>
  </si>
  <si>
    <t xml:space="preserve">Example file to demonstrate the various functions used to evaluate </t>
  </si>
  <si>
    <t>multiple criteria.</t>
  </si>
  <si>
    <t>Quiz Question</t>
  </si>
  <si>
    <t>Comprehensive Example - Assumptions</t>
  </si>
  <si>
    <t>Data</t>
  </si>
  <si>
    <t>Product costing model for a retail bank</t>
  </si>
  <si>
    <t>???</t>
  </si>
  <si>
    <t>Comprehensive Example - Output</t>
  </si>
  <si>
    <t>Totals</t>
  </si>
  <si>
    <t>Comprehensive Example</t>
  </si>
  <si>
    <t>Comprehensive Example_ERROR</t>
  </si>
  <si>
    <t>Suggested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</si>
</sst>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ý&quot;;&quot;ý&quot;;&quot;þ&quot;"/>
    <numFmt numFmtId="166" formatCode="#,##0&quot;.&quot;"/>
    <numFmt numFmtId="167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dd\/mm\/yyyy"/>
    <numFmt numFmtId="182" formatCode="#,###_;"/>
    <numFmt numFmtId="183" formatCode="#,##0;;\-"/>
    <numFmt numFmtId="184" formatCode="000000"/>
    <numFmt numFmtId="185" formatCode="_(#,##0.0_);[Red]\(#,##0.0\);_(\-_)"/>
    <numFmt numFmtId="186" formatCode="_(#,##0_);[Red]\(#,##0\);_(\-_)"/>
    <numFmt numFmtId="187" formatCode="_(#,##0.00_);[Red]\(#,##0.00\);_(\-_)"/>
    <numFmt numFmtId="188" formatCode="_-* #,##0.00_-;\-* #,##0.00_-;_-* &quot;-&quot;_-;_-@_-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7" applyAlignment="0"/>
    <xf numFmtId="165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9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7">
      <alignment horizontal="center"/>
    </xf>
    <xf numFmtId="41" fontId="5" fillId="8" borderId="8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3" fontId="16" fillId="3" borderId="1"/>
    <xf numFmtId="164" fontId="31" fillId="11" borderId="7">
      <alignment horizontal="center"/>
      <protection locked="0"/>
    </xf>
  </cellStyleXfs>
  <cellXfs count="137">
    <xf numFmtId="0" fontId="0" fillId="0" borderId="0" xfId="0"/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7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0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8" fontId="1" fillId="5" borderId="7" xfId="18"/>
    <xf numFmtId="165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2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69" fontId="0" fillId="0" borderId="0" xfId="26" applyFont="1"/>
    <xf numFmtId="9" fontId="0" fillId="0" borderId="0" xfId="5" applyFont="1"/>
    <xf numFmtId="0" fontId="0" fillId="0" borderId="0" xfId="0"/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 applyProtection="1">
      <protection locked="0"/>
    </xf>
    <xf numFmtId="166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3" fontId="16" fillId="3" borderId="1" xfId="41"/>
    <xf numFmtId="41" fontId="25" fillId="4" borderId="7" xfId="14" applyNumberFormat="1">
      <protection locked="0"/>
    </xf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178" fontId="26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 applyAlignment="1">
      <protection locked="0"/>
    </xf>
    <xf numFmtId="181" fontId="26" fillId="0" borderId="3" xfId="13" applyNumberFormat="1" applyAlignment="1">
      <alignment horizontal="center"/>
    </xf>
    <xf numFmtId="0" fontId="25" fillId="4" borderId="7" xfId="14" applyAlignment="1">
      <alignment horizontal="center"/>
      <protection locked="0"/>
    </xf>
    <xf numFmtId="0" fontId="13" fillId="10" borderId="0" xfId="33" quotePrefix="1">
      <alignment horizontal="center"/>
    </xf>
    <xf numFmtId="0" fontId="13" fillId="10" borderId="0" xfId="33">
      <alignment horizontal="center"/>
    </xf>
    <xf numFmtId="0" fontId="0" fillId="0" borderId="0" xfId="0"/>
    <xf numFmtId="182" fontId="0" fillId="0" borderId="0" xfId="0" applyNumberFormat="1" applyAlignment="1">
      <alignment horizontal="right"/>
    </xf>
    <xf numFmtId="0" fontId="17" fillId="0" borderId="0" xfId="11"/>
    <xf numFmtId="0" fontId="0" fillId="0" borderId="0" xfId="0"/>
    <xf numFmtId="0" fontId="13" fillId="10" borderId="0" xfId="33">
      <alignment horizontal="center"/>
    </xf>
    <xf numFmtId="0" fontId="13" fillId="10" borderId="0" xfId="33">
      <alignment horizontal="center"/>
    </xf>
    <xf numFmtId="0" fontId="0" fillId="0" borderId="0" xfId="0"/>
    <xf numFmtId="6" fontId="25" fillId="4" borderId="7" xfId="14" applyNumberFormat="1" applyAlignment="1">
      <alignment horizontal="center"/>
      <protection locked="0"/>
    </xf>
    <xf numFmtId="6" fontId="0" fillId="0" borderId="0" xfId="3" applyNumberFormat="1" applyFont="1" applyAlignment="1">
      <alignment horizontal="center"/>
    </xf>
    <xf numFmtId="0" fontId="33" fillId="0" borderId="0" xfId="0" quotePrefix="1" applyFont="1"/>
    <xf numFmtId="0" fontId="0" fillId="0" borderId="0" xfId="0" applyAlignment="1">
      <alignment horizontal="center"/>
    </xf>
    <xf numFmtId="0" fontId="25" fillId="4" borderId="7" xfId="14" applyNumberFormat="1" applyAlignment="1">
      <alignment horizontal="center"/>
      <protection locked="0"/>
    </xf>
    <xf numFmtId="0" fontId="0" fillId="0" borderId="0" xfId="0"/>
    <xf numFmtId="0" fontId="13" fillId="10" borderId="0" xfId="33">
      <alignment horizontal="center"/>
    </xf>
    <xf numFmtId="0" fontId="13" fillId="10" borderId="0" xfId="33">
      <alignment horizontal="center"/>
    </xf>
    <xf numFmtId="0" fontId="0" fillId="0" borderId="0" xfId="0"/>
    <xf numFmtId="6" fontId="0" fillId="0" borderId="16" xfId="3" applyNumberFormat="1" applyFont="1" applyBorder="1" applyAlignment="1">
      <alignment horizontal="center"/>
    </xf>
    <xf numFmtId="0" fontId="0" fillId="0" borderId="0" xfId="0"/>
    <xf numFmtId="0" fontId="13" fillId="10" borderId="0" xfId="33">
      <alignment horizontal="center"/>
    </xf>
    <xf numFmtId="0" fontId="13" fillId="10" borderId="0" xfId="33">
      <alignment horizontal="center"/>
    </xf>
    <xf numFmtId="0" fontId="0" fillId="0" borderId="0" xfId="0"/>
    <xf numFmtId="0" fontId="32" fillId="0" borderId="0" xfId="0" quotePrefix="1" applyFont="1"/>
    <xf numFmtId="0" fontId="25" fillId="12" borderId="7" xfId="14" applyFill="1" applyAlignment="1">
      <alignment horizontal="center"/>
      <protection locked="0"/>
    </xf>
    <xf numFmtId="183" fontId="0" fillId="0" borderId="16" xfId="1" applyNumberFormat="1" applyFont="1" applyBorder="1" applyAlignment="1">
      <alignment horizontal="center"/>
    </xf>
    <xf numFmtId="0" fontId="25" fillId="13" borderId="7" xfId="14" quotePrefix="1" applyFill="1" applyAlignment="1">
      <alignment horizontal="center"/>
      <protection locked="0"/>
    </xf>
    <xf numFmtId="0" fontId="25" fillId="13" borderId="7" xfId="14" applyFill="1" applyAlignment="1">
      <alignment horizontal="center"/>
      <protection locked="0"/>
    </xf>
    <xf numFmtId="6" fontId="25" fillId="13" borderId="7" xfId="14" quotePrefix="1" applyNumberFormat="1" applyFill="1" applyAlignment="1">
      <alignment horizontal="center"/>
      <protection locked="0"/>
    </xf>
    <xf numFmtId="0" fontId="25" fillId="7" borderId="7" xfId="14" applyFill="1" applyAlignment="1">
      <alignment horizontal="center"/>
      <protection locked="0"/>
    </xf>
    <xf numFmtId="6" fontId="25" fillId="7" borderId="7" xfId="14" applyNumberFormat="1" applyFill="1" applyAlignment="1">
      <alignment horizontal="center"/>
      <protection locked="0"/>
    </xf>
    <xf numFmtId="6" fontId="24" fillId="0" borderId="16" xfId="23" applyNumberFormat="1" applyFont="1" applyBorder="1" applyAlignment="1">
      <alignment horizontal="center"/>
    </xf>
    <xf numFmtId="0" fontId="24" fillId="0" borderId="0" xfId="0" applyFont="1"/>
    <xf numFmtId="184" fontId="25" fillId="4" borderId="7" xfId="14" applyNumberFormat="1" applyAlignment="1">
      <alignment horizontal="center"/>
      <protection locked="0"/>
    </xf>
    <xf numFmtId="6" fontId="24" fillId="0" borderId="16" xfId="3" applyNumberFormat="1" applyFont="1" applyBorder="1" applyAlignment="1">
      <alignment horizontal="center"/>
    </xf>
    <xf numFmtId="0" fontId="13" fillId="10" borderId="0" xfId="33" applyAlignment="1">
      <alignment horizontal="center" wrapText="1"/>
    </xf>
    <xf numFmtId="186" fontId="25" fillId="4" borderId="7" xfId="26" applyNumberFormat="1" applyFont="1" applyFill="1" applyBorder="1" applyAlignment="1" applyProtection="1">
      <alignment horizontal="center"/>
      <protection locked="0"/>
    </xf>
    <xf numFmtId="185" fontId="25" fillId="4" borderId="7" xfId="26" applyNumberFormat="1" applyFont="1" applyFill="1" applyBorder="1" applyAlignment="1" applyProtection="1">
      <alignment horizontal="center"/>
      <protection locked="0"/>
    </xf>
    <xf numFmtId="42" fontId="25" fillId="4" borderId="7" xfId="4" applyFont="1" applyFill="1" applyBorder="1" applyAlignment="1" applyProtection="1">
      <alignment horizontal="center"/>
      <protection locked="0"/>
    </xf>
    <xf numFmtId="42" fontId="0" fillId="0" borderId="0" xfId="4" applyFont="1"/>
    <xf numFmtId="42" fontId="0" fillId="0" borderId="17" xfId="4" applyFont="1" applyBorder="1"/>
    <xf numFmtId="186" fontId="0" fillId="0" borderId="0" xfId="0" applyNumberFormat="1"/>
    <xf numFmtId="42" fontId="31" fillId="7" borderId="2" xfId="4" applyFont="1" applyFill="1" applyBorder="1"/>
    <xf numFmtId="0" fontId="0" fillId="0" borderId="0" xfId="0"/>
    <xf numFmtId="0" fontId="0" fillId="0" borderId="0" xfId="0" applyBorder="1"/>
    <xf numFmtId="0" fontId="13" fillId="10" borderId="0" xfId="33" applyBorder="1">
      <alignment horizontal="center"/>
    </xf>
    <xf numFmtId="0" fontId="27" fillId="0" borderId="0" xfId="8">
      <alignment horizontal="left"/>
      <protection locked="0"/>
    </xf>
    <xf numFmtId="0" fontId="13" fillId="10" borderId="0" xfId="33" applyAlignment="1">
      <alignment horizontal="center" vertical="center"/>
    </xf>
    <xf numFmtId="0" fontId="13" fillId="10" borderId="0" xfId="33" applyAlignment="1">
      <alignment horizontal="center" vertical="center" wrapText="1"/>
    </xf>
    <xf numFmtId="186" fontId="25" fillId="4" borderId="7" xfId="26" applyNumberFormat="1" applyFont="1" applyFill="1" applyBorder="1" applyAlignment="1" applyProtection="1">
      <alignment horizontal="right"/>
      <protection locked="0"/>
    </xf>
    <xf numFmtId="187" fontId="25" fillId="4" borderId="7" xfId="26" applyNumberFormat="1" applyFont="1" applyFill="1" applyBorder="1" applyAlignment="1" applyProtection="1">
      <alignment horizontal="center"/>
    </xf>
    <xf numFmtId="187" fontId="25" fillId="4" borderId="7" xfId="26" applyNumberFormat="1" applyFont="1" applyFill="1" applyBorder="1" applyAlignment="1" applyProtection="1">
      <alignment horizontal="right"/>
      <protection locked="0"/>
    </xf>
    <xf numFmtId="41" fontId="25" fillId="4" borderId="7" xfId="2" applyFont="1" applyFill="1" applyBorder="1" applyAlignment="1" applyProtection="1">
      <alignment horizontal="right"/>
      <protection locked="0"/>
    </xf>
    <xf numFmtId="187" fontId="25" fillId="4" borderId="7" xfId="26" applyNumberFormat="1" applyFont="1" applyFill="1" applyBorder="1" applyAlignment="1" applyProtection="1">
      <alignment horizontal="left"/>
      <protection locked="0"/>
    </xf>
    <xf numFmtId="41" fontId="25" fillId="4" borderId="7" xfId="2" applyFont="1" applyFill="1" applyBorder="1" applyAlignment="1" applyProtection="1">
      <alignment horizontal="center"/>
      <protection locked="0"/>
    </xf>
    <xf numFmtId="0" fontId="24" fillId="0" borderId="10" xfId="23" applyNumberFormat="1" applyFont="1"/>
    <xf numFmtId="188" fontId="0" fillId="0" borderId="0" xfId="2" applyNumberFormat="1" applyFont="1"/>
    <xf numFmtId="41" fontId="24" fillId="0" borderId="10" xfId="2" applyFont="1" applyBorder="1"/>
    <xf numFmtId="188" fontId="25" fillId="4" borderId="7" xfId="2" applyNumberFormat="1" applyFont="1" applyFill="1" applyBorder="1" applyAlignment="1" applyProtection="1">
      <alignment horizontal="right"/>
      <protection locked="0"/>
    </xf>
    <xf numFmtId="41" fontId="0" fillId="0" borderId="0" xfId="2" applyFont="1" applyBorder="1"/>
    <xf numFmtId="41" fontId="34" fillId="7" borderId="18" xfId="27" applyNumberFormat="1" applyFont="1" applyBorder="1"/>
    <xf numFmtId="41" fontId="0" fillId="0" borderId="10" xfId="23" applyNumberFormat="1" applyFont="1"/>
    <xf numFmtId="41" fontId="0" fillId="14" borderId="18" xfId="2" applyFont="1" applyFill="1" applyBorder="1"/>
    <xf numFmtId="188" fontId="24" fillId="0" borderId="10" xfId="2" applyNumberFormat="1" applyFont="1" applyBorder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0" borderId="0" xfId="33">
      <alignment horizontal="center"/>
    </xf>
    <xf numFmtId="0" fontId="13" fillId="10" borderId="0" xfId="33" applyBorder="1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3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arning" xfId="42" xr:uid="{00000000-0005-0000-0000-000029000000}"/>
    <cellStyle name="WIP" xfId="35" xr:uid="{00000000-0005-0000-0000-00002A000000}"/>
  </cellStyles>
  <dxfs count="20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b/>
        <i/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09" t="s">
        <v>1</v>
      </c>
    </row>
    <row r="5" spans="1:19" ht="20.25" x14ac:dyDescent="0.3">
      <c r="C5" s="48" t="str">
        <f>Client_Name</f>
        <v xml:space="preserve">SumProduct </v>
      </c>
      <c r="D5" s="7"/>
      <c r="E5" s="7"/>
      <c r="F5" s="7"/>
      <c r="G5" s="7"/>
      <c r="H5" s="7"/>
      <c r="I5" s="7"/>
      <c r="J5" s="7"/>
    </row>
    <row r="6" spans="1:19" ht="18" x14ac:dyDescent="0.25">
      <c r="C6" s="49" t="str">
        <f ca="1">Model_Name</f>
        <v>Chapter 2.1 - SP Multiple Criteria Examples with Comprehensive Example.xlsx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4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18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127" t="s">
        <v>218</v>
      </c>
      <c r="D17" s="127"/>
      <c r="E17" s="127"/>
      <c r="F17" s="127"/>
      <c r="G17" s="127"/>
      <c r="H17" s="127"/>
      <c r="I17" s="127"/>
      <c r="J17" s="127"/>
    </row>
    <row r="18" spans="3:10" ht="12.75" x14ac:dyDescent="0.2">
      <c r="C18" s="127" t="s">
        <v>219</v>
      </c>
      <c r="D18" s="127"/>
      <c r="E18" s="127"/>
      <c r="F18" s="127"/>
      <c r="G18" s="127"/>
      <c r="H18" s="127"/>
      <c r="I18" s="127"/>
      <c r="J18" s="12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128" t="s">
        <v>21</v>
      </c>
      <c r="H21" s="128"/>
      <c r="I21" s="128"/>
      <c r="J21" s="7"/>
    </row>
    <row r="22" spans="3:10" ht="12.75" x14ac:dyDescent="0.2">
      <c r="C22" s="10" t="s">
        <v>22</v>
      </c>
      <c r="D22" s="9"/>
      <c r="E22" s="7"/>
      <c r="F22" s="7"/>
      <c r="G22" s="128" t="s">
        <v>23</v>
      </c>
      <c r="H22" s="128"/>
      <c r="I22" s="12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33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8" t="s">
        <v>1</v>
      </c>
      <c r="F1" s="12"/>
      <c r="G1" s="12"/>
    </row>
    <row r="2" spans="1:24" ht="18" x14ac:dyDescent="0.25">
      <c r="A2" s="49" t="str">
        <f ca="1">Model_Name</f>
        <v>Chapter 2.1 - SP Multiple Criteria Examples with Comprehensive Example.xlsx</v>
      </c>
    </row>
    <row r="3" spans="1:24" x14ac:dyDescent="0.2">
      <c r="A3" s="11" t="s">
        <v>1</v>
      </c>
      <c r="B3" s="11"/>
      <c r="C3" s="11"/>
      <c r="D3" s="11"/>
      <c r="E3" s="11"/>
    </row>
    <row r="7" spans="1:24" ht="16.5" thickBot="1" x14ac:dyDescent="0.3">
      <c r="B7" s="50">
        <v>1</v>
      </c>
      <c r="C7" s="50" t="s">
        <v>24</v>
      </c>
      <c r="D7" s="50"/>
      <c r="E7" s="50"/>
      <c r="F7" s="50"/>
      <c r="G7" s="50"/>
      <c r="H7" s="50"/>
      <c r="I7" s="50"/>
      <c r="J7" s="50"/>
      <c r="K7" s="50"/>
      <c r="L7" s="5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thickTop="1" x14ac:dyDescent="0.2"/>
    <row r="9" spans="1:24" x14ac:dyDescent="0.2">
      <c r="F9" s="109" t="s">
        <v>25</v>
      </c>
    </row>
    <row r="10" spans="1:24" x14ac:dyDescent="0.2">
      <c r="F10" s="109" t="s">
        <v>26</v>
      </c>
    </row>
    <row r="11" spans="1:24" x14ac:dyDescent="0.2">
      <c r="F11" s="109" t="s">
        <v>66</v>
      </c>
    </row>
    <row r="12" spans="1:24" x14ac:dyDescent="0.2">
      <c r="F12" s="109" t="s">
        <v>0</v>
      </c>
    </row>
    <row r="13" spans="1:24" x14ac:dyDescent="0.2">
      <c r="F13" s="109" t="s">
        <v>144</v>
      </c>
    </row>
    <row r="14" spans="1:24" x14ac:dyDescent="0.2">
      <c r="F14" s="109" t="s">
        <v>145</v>
      </c>
    </row>
    <row r="15" spans="1:24" x14ac:dyDescent="0.2">
      <c r="F15" s="109" t="s">
        <v>146</v>
      </c>
    </row>
    <row r="16" spans="1:24" x14ac:dyDescent="0.2">
      <c r="F16" s="109" t="s">
        <v>147</v>
      </c>
    </row>
    <row r="17" spans="6:6" x14ac:dyDescent="0.2">
      <c r="F17" s="109" t="s">
        <v>210</v>
      </c>
    </row>
    <row r="18" spans="6:6" x14ac:dyDescent="0.2">
      <c r="F18" s="109" t="s">
        <v>211</v>
      </c>
    </row>
    <row r="19" spans="6:6" x14ac:dyDescent="0.2">
      <c r="F19" s="109" t="s">
        <v>212</v>
      </c>
    </row>
    <row r="20" spans="6:6" x14ac:dyDescent="0.2">
      <c r="F20" s="109" t="s">
        <v>213</v>
      </c>
    </row>
    <row r="21" spans="6:6" x14ac:dyDescent="0.2">
      <c r="F21" s="109" t="s">
        <v>214</v>
      </c>
    </row>
    <row r="22" spans="6:6" x14ac:dyDescent="0.2">
      <c r="F22" s="109" t="s">
        <v>215</v>
      </c>
    </row>
    <row r="23" spans="6:6" x14ac:dyDescent="0.2">
      <c r="F23" s="109" t="s">
        <v>148</v>
      </c>
    </row>
    <row r="24" spans="6:6" x14ac:dyDescent="0.2">
      <c r="F24" s="109" t="s">
        <v>149</v>
      </c>
    </row>
    <row r="25" spans="6:6" x14ac:dyDescent="0.2">
      <c r="F25" s="109" t="s">
        <v>150</v>
      </c>
    </row>
    <row r="26" spans="6:6" x14ac:dyDescent="0.2">
      <c r="F26" s="109" t="s">
        <v>151</v>
      </c>
    </row>
    <row r="27" spans="6:6" x14ac:dyDescent="0.2">
      <c r="F27" s="109" t="s">
        <v>152</v>
      </c>
    </row>
    <row r="28" spans="6:6" x14ac:dyDescent="0.2">
      <c r="F28" s="109" t="s">
        <v>216</v>
      </c>
    </row>
    <row r="29" spans="6:6" x14ac:dyDescent="0.2">
      <c r="F29" s="109" t="s">
        <v>217</v>
      </c>
    </row>
    <row r="30" spans="6:6" x14ac:dyDescent="0.2">
      <c r="F30" s="109" t="s">
        <v>153</v>
      </c>
    </row>
    <row r="31" spans="6:6" x14ac:dyDescent="0.2">
      <c r="F31" s="109" t="s">
        <v>161</v>
      </c>
    </row>
    <row r="32" spans="6:6" x14ac:dyDescent="0.2">
      <c r="F32" s="109" t="s">
        <v>227</v>
      </c>
    </row>
    <row r="33" spans="6:6" x14ac:dyDescent="0.2">
      <c r="F33" s="109" t="s">
        <v>228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88864C6D-E07F-4CB5-83DF-D6A6C87A1C00}"/>
    <hyperlink ref="F10" location="HL_3" display="Style Guide" xr:uid="{9869EBFF-B9FF-481B-9F9F-73A8B36AEFCA}"/>
    <hyperlink ref="F11" location="HL_4" display="Timing" xr:uid="{0343D3F9-B169-4F6B-B71B-45AD487C755A}"/>
    <hyperlink ref="F12" location="HL_5" display="Model Parameters" xr:uid="{60F5999D-A276-4171-9662-8CBD0889F629}"/>
    <hyperlink ref="F13" location="HL_6" display="Single _SUMIF_Ex1a" xr:uid="{68F20A03-AB00-46AF-B9DC-7C2ADA997EE1}"/>
    <hyperlink ref="F14" location="HL_7" display="Single _SUMIF_Ex1b" xr:uid="{6DC9C471-16D1-4F4D-97E6-5C128595D603}"/>
    <hyperlink ref="F15" location="HL_8" display="Single _SUMIF_Ex_NOT" xr:uid="{0F8A4FC6-D2FD-4620-8DBB-E1EDF62C4FF7}"/>
    <hyperlink ref="F16" location="HL_9" display="SUMIFS_Ex" xr:uid="{BBF72A24-655E-4233-9075-C498BE3E0128}"/>
    <hyperlink ref="F17" location="HL_10" display="AVERAGEIFS" xr:uid="{7237E758-B3AF-4493-B7CE-42A960E8BB94}"/>
    <hyperlink ref="F18" location="HL_11" display="SUMIFS_Ex (2)" xr:uid="{091E5562-A6D7-4AF4-8CDE-0A8A2C5BD235}"/>
    <hyperlink ref="F19" location="HL_12" display="SUMIFS_Ex (3)" xr:uid="{461AD361-6366-409E-A330-1957AFCAA575}"/>
    <hyperlink ref="F20" location="HL_13" display="SUMIFS_Ex (4)" xr:uid="{FE048E42-5E9F-4950-8C74-A0191B7A36F5}"/>
    <hyperlink ref="F21" location="HL_14" display="SUMIFS_Ex (5)" xr:uid="{436EA5FC-DA02-434E-B8E1-1CBA94B8117A}"/>
    <hyperlink ref="F22" location="HL_15" display="SUMIFS_Ex (6)" xr:uid="{473FCCA6-0C6D-4919-95F3-29735649B7EF}"/>
    <hyperlink ref="F23" location="HL_16" display="Concatenated_SUMIF_Ex" xr:uid="{B19DE490-D9F4-4DAC-89CC-886521F99B7B}"/>
    <hyperlink ref="F24" location="HL_17" display="DSUM_Ex1" xr:uid="{393C4453-431E-4D44-8321-D7C14B2807A3}"/>
    <hyperlink ref="F25" location="HL_18" display="DSUM_Ex2" xr:uid="{FCBDDBEE-CA36-4ABF-B09C-4E6DD5CEF9EE}"/>
    <hyperlink ref="F26" location="HL_19" display="Example_Sales_Report" xr:uid="{DB5C4E60-3164-4866-B1D1-7F5401008D92}"/>
    <hyperlink ref="F27" location="HL_20" display="SUMPRODUCT_Ex" xr:uid="{B77A81BB-1B2F-4EEC-8931-E1CE2B0EB27D}"/>
    <hyperlink ref="F28" location="HL_21" display="SUMPRODUCT Comprehensive" xr:uid="{B3FA7BA2-4BCE-4535-A1E9-4F5E620AD68F}"/>
    <hyperlink ref="F29" location="HL_22" display="SUMPRODUCT_Ex (2)" xr:uid="{8E312A66-1E1A-4738-8F9E-36F9A7FFC381}"/>
    <hyperlink ref="F30" location="HL_23" display="Error_Text" xr:uid="{E761AFA9-34B9-4124-AA97-46289113A962}"/>
    <hyperlink ref="F31" location="HL_24" display="Error_NA" xr:uid="{626E3AB8-A369-4EB1-AC0B-0513AAFF511B}"/>
    <hyperlink ref="F32" location="HL_25" display="Comprehensive Example" xr:uid="{59DF2A0F-32A5-44E5-A8AA-B8860C3150C3}"/>
    <hyperlink ref="F33" location="HL_26" display="Comprehensive Example_ERROR" xr:uid="{67461C1C-9D52-4ABC-92FA-13AF1EE0B3C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9" t="str">
        <f ca="1">Model_Name</f>
        <v>Chapter 2.1 - SP Multiple Criteria Examples with Comprehensive Example.xlsx</v>
      </c>
    </row>
    <row r="3" spans="1:13" x14ac:dyDescent="0.2">
      <c r="A3" s="109" t="s">
        <v>1</v>
      </c>
      <c r="B3" s="60"/>
      <c r="C3" s="60"/>
      <c r="D3" s="60"/>
      <c r="E3" s="60"/>
    </row>
    <row r="6" spans="1:13" ht="16.5" thickBot="1" x14ac:dyDescent="0.3">
      <c r="B6" s="5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131" t="s">
        <v>28</v>
      </c>
      <c r="D8" s="131"/>
      <c r="E8" s="131"/>
      <c r="F8" s="131"/>
      <c r="G8" s="131"/>
      <c r="H8" s="13"/>
      <c r="I8" s="13" t="s">
        <v>29</v>
      </c>
      <c r="J8" s="13"/>
      <c r="K8" s="13" t="s">
        <v>30</v>
      </c>
    </row>
    <row r="9" spans="1:13" outlineLevel="1" x14ac:dyDescent="0.2">
      <c r="C9" s="130"/>
      <c r="D9" s="130"/>
      <c r="E9" s="130"/>
      <c r="F9" s="130"/>
      <c r="G9" s="130"/>
      <c r="H9" s="47"/>
      <c r="I9" s="47"/>
      <c r="J9" s="16"/>
      <c r="K9" s="19"/>
    </row>
    <row r="10" spans="1:13" ht="20.25" outlineLevel="1" x14ac:dyDescent="0.3">
      <c r="C10" s="130" t="s">
        <v>31</v>
      </c>
      <c r="D10" s="130"/>
      <c r="E10" s="130"/>
      <c r="F10" s="130"/>
      <c r="G10" s="130"/>
      <c r="H10" s="14"/>
      <c r="I10" s="15" t="str">
        <f>C10</f>
        <v>Sheet Title</v>
      </c>
      <c r="J10" s="16"/>
      <c r="K10" s="17" t="s">
        <v>31</v>
      </c>
    </row>
    <row r="11" spans="1:13" ht="18" outlineLevel="1" x14ac:dyDescent="0.25">
      <c r="C11" s="130" t="s">
        <v>4</v>
      </c>
      <c r="D11" s="130"/>
      <c r="E11" s="130"/>
      <c r="F11" s="130"/>
      <c r="G11" s="130"/>
      <c r="H11" s="14"/>
      <c r="I11" s="18" t="str">
        <f>C11</f>
        <v>Model Name</v>
      </c>
      <c r="J11" s="16"/>
      <c r="K11" s="17" t="s">
        <v>4</v>
      </c>
    </row>
    <row r="12" spans="1:13" outlineLevel="1" x14ac:dyDescent="0.2">
      <c r="C12" s="130"/>
      <c r="D12" s="130"/>
      <c r="E12" s="130"/>
      <c r="F12" s="130"/>
      <c r="G12" s="130"/>
      <c r="H12" s="14"/>
      <c r="I12" s="14"/>
      <c r="J12" s="16"/>
      <c r="K12" s="19"/>
    </row>
    <row r="13" spans="1:13" ht="16.5" outlineLevel="1" thickBot="1" x14ac:dyDescent="0.3">
      <c r="C13" s="130" t="s">
        <v>32</v>
      </c>
      <c r="D13" s="130"/>
      <c r="E13" s="130"/>
      <c r="F13" s="130"/>
      <c r="G13" s="130"/>
      <c r="H13" s="14"/>
      <c r="I13" s="46" t="str">
        <f>C13</f>
        <v>Header 1</v>
      </c>
      <c r="J13" s="16"/>
      <c r="K13" s="17" t="s">
        <v>32</v>
      </c>
    </row>
    <row r="14" spans="1:13" ht="17.25" outlineLevel="1" thickTop="1" x14ac:dyDescent="0.25">
      <c r="C14" s="130" t="s">
        <v>33</v>
      </c>
      <c r="D14" s="130"/>
      <c r="E14" s="130"/>
      <c r="F14" s="130"/>
      <c r="G14" s="130"/>
      <c r="H14" s="14"/>
      <c r="I14" s="3" t="str">
        <f>C14</f>
        <v>Header 2</v>
      </c>
      <c r="J14" s="16"/>
      <c r="K14" s="17" t="s">
        <v>33</v>
      </c>
    </row>
    <row r="15" spans="1:13" ht="15" outlineLevel="1" x14ac:dyDescent="0.25">
      <c r="C15" s="130" t="s">
        <v>34</v>
      </c>
      <c r="D15" s="130"/>
      <c r="E15" s="130"/>
      <c r="F15" s="130"/>
      <c r="G15" s="130"/>
      <c r="H15" s="14"/>
      <c r="I15" s="20" t="str">
        <f>C15</f>
        <v>Header 3</v>
      </c>
      <c r="J15" s="16"/>
      <c r="K15" s="17" t="s">
        <v>34</v>
      </c>
    </row>
    <row r="16" spans="1:13" ht="15" outlineLevel="1" x14ac:dyDescent="0.25">
      <c r="C16" s="130" t="s">
        <v>35</v>
      </c>
      <c r="D16" s="130"/>
      <c r="E16" s="130"/>
      <c r="F16" s="130"/>
      <c r="G16" s="130"/>
      <c r="H16" s="14"/>
      <c r="I16" s="21" t="str">
        <f>C16</f>
        <v>Header 4</v>
      </c>
      <c r="J16" s="16"/>
      <c r="K16" s="17" t="s">
        <v>35</v>
      </c>
    </row>
    <row r="17" spans="2:14" outlineLevel="1" x14ac:dyDescent="0.2">
      <c r="C17" s="130"/>
      <c r="D17" s="130"/>
      <c r="E17" s="130"/>
      <c r="F17" s="130"/>
      <c r="G17" s="130"/>
      <c r="H17" s="14"/>
      <c r="I17" s="14"/>
      <c r="J17" s="16"/>
      <c r="K17" s="19"/>
    </row>
    <row r="18" spans="2:14" ht="15" outlineLevel="1" x14ac:dyDescent="0.25">
      <c r="C18" s="130" t="s">
        <v>36</v>
      </c>
      <c r="D18" s="130"/>
      <c r="E18" s="130"/>
      <c r="F18" s="130"/>
      <c r="G18" s="130"/>
      <c r="H18" s="14"/>
      <c r="I18" s="22" t="str">
        <f>C18</f>
        <v>Notes</v>
      </c>
      <c r="J18" s="16"/>
      <c r="K18" s="17" t="s">
        <v>36</v>
      </c>
    </row>
    <row r="19" spans="2:14" outlineLevel="1" x14ac:dyDescent="0.2">
      <c r="C19" s="130"/>
      <c r="D19" s="130"/>
      <c r="E19" s="130"/>
      <c r="F19" s="130"/>
      <c r="G19" s="130"/>
      <c r="H19" s="14"/>
      <c r="I19" s="14"/>
      <c r="J19" s="16"/>
      <c r="K19" s="19"/>
      <c r="N19" s="22"/>
    </row>
    <row r="20" spans="2:14" ht="15" outlineLevel="1" x14ac:dyDescent="0.25">
      <c r="C20" s="130" t="s">
        <v>37</v>
      </c>
      <c r="D20" s="130"/>
      <c r="E20" s="130"/>
      <c r="F20" s="130"/>
      <c r="G20" s="130"/>
      <c r="H20" s="14"/>
      <c r="I20" s="23" t="str">
        <f>C20</f>
        <v>Table Heading</v>
      </c>
      <c r="J20" s="16"/>
      <c r="K20" s="17" t="s">
        <v>37</v>
      </c>
    </row>
    <row r="21" spans="2:14" outlineLevel="1" x14ac:dyDescent="0.2">
      <c r="H21" s="1"/>
      <c r="I21" s="1"/>
      <c r="J21" s="1"/>
      <c r="K21" s="1"/>
    </row>
    <row r="22" spans="2:14" outlineLevel="1" x14ac:dyDescent="0.2"/>
    <row r="23" spans="2:14" ht="16.5" thickBot="1" x14ac:dyDescent="0.3">
      <c r="B23" s="5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132" t="s">
        <v>28</v>
      </c>
      <c r="D25" s="132"/>
      <c r="E25" s="132"/>
      <c r="F25" s="132"/>
      <c r="G25" s="132"/>
      <c r="H25" s="23"/>
      <c r="I25" s="23" t="s">
        <v>29</v>
      </c>
      <c r="J25" s="23"/>
      <c r="K25" s="23" t="s">
        <v>30</v>
      </c>
    </row>
    <row r="26" spans="2:14" ht="15" outlineLevel="1" x14ac:dyDescent="0.25">
      <c r="C26" s="130"/>
      <c r="D26" s="130"/>
      <c r="E26" s="130"/>
      <c r="F26" s="130"/>
      <c r="G26" s="130"/>
      <c r="H26" s="47"/>
      <c r="I26" s="47"/>
      <c r="J26" s="16"/>
      <c r="K26" s="17"/>
    </row>
    <row r="27" spans="2:14" ht="15" outlineLevel="1" x14ac:dyDescent="0.25">
      <c r="C27" s="130" t="s">
        <v>39</v>
      </c>
      <c r="D27" s="130"/>
      <c r="E27" s="130"/>
      <c r="F27" s="130"/>
      <c r="G27" s="130"/>
      <c r="H27" s="14"/>
      <c r="I27" s="24" t="s">
        <v>39</v>
      </c>
      <c r="J27" s="14"/>
      <c r="K27" s="25" t="str">
        <f>C27</f>
        <v>Assumption</v>
      </c>
    </row>
    <row r="28" spans="2:14" ht="15" outlineLevel="1" x14ac:dyDescent="0.25">
      <c r="C28" s="130"/>
      <c r="D28" s="130"/>
      <c r="E28" s="130"/>
      <c r="F28" s="130"/>
      <c r="G28" s="130"/>
      <c r="H28" s="14"/>
      <c r="I28" s="14"/>
      <c r="J28" s="14"/>
      <c r="K28" s="25"/>
    </row>
    <row r="29" spans="2:14" ht="15" outlineLevel="1" x14ac:dyDescent="0.25">
      <c r="C29" s="130" t="s">
        <v>40</v>
      </c>
      <c r="D29" s="130"/>
      <c r="E29" s="130"/>
      <c r="F29" s="130"/>
      <c r="G29" s="130"/>
      <c r="H29" s="14"/>
      <c r="I29" s="26" t="str">
        <f>C29</f>
        <v>Constraint</v>
      </c>
      <c r="J29" s="14"/>
      <c r="K29" s="25" t="str">
        <f>C29</f>
        <v>Constraint</v>
      </c>
    </row>
    <row r="30" spans="2:14" ht="15" outlineLevel="1" x14ac:dyDescent="0.25">
      <c r="C30" s="130"/>
      <c r="D30" s="130"/>
      <c r="E30" s="130"/>
      <c r="F30" s="130"/>
      <c r="G30" s="130"/>
      <c r="H30" s="14"/>
      <c r="I30" s="14"/>
      <c r="J30" s="14"/>
      <c r="K30" s="25"/>
    </row>
    <row r="31" spans="2:14" ht="15" outlineLevel="1" x14ac:dyDescent="0.25">
      <c r="C31" s="129" t="s">
        <v>41</v>
      </c>
      <c r="D31" s="129"/>
      <c r="E31" s="129"/>
      <c r="F31" s="129"/>
      <c r="G31" s="129"/>
      <c r="I31" s="27"/>
      <c r="K31" s="25" t="str">
        <f>C31</f>
        <v>Empty</v>
      </c>
    </row>
    <row r="32" spans="2:14" ht="15" outlineLevel="1" x14ac:dyDescent="0.25">
      <c r="C32" s="129"/>
      <c r="D32" s="129"/>
      <c r="E32" s="129"/>
      <c r="F32" s="129"/>
      <c r="G32" s="129"/>
      <c r="K32" s="25"/>
    </row>
    <row r="33" spans="3:11" ht="15" outlineLevel="1" x14ac:dyDescent="0.25">
      <c r="C33" t="s">
        <v>42</v>
      </c>
      <c r="I33" s="28">
        <v>0</v>
      </c>
      <c r="K33" s="25" t="str">
        <f>C33</f>
        <v>Error Check</v>
      </c>
    </row>
    <row r="34" spans="3:11" ht="15" outlineLevel="1" x14ac:dyDescent="0.25">
      <c r="K34" s="25"/>
    </row>
    <row r="35" spans="3:11" ht="15" outlineLevel="1" x14ac:dyDescent="0.25">
      <c r="C35" s="129" t="s">
        <v>43</v>
      </c>
      <c r="D35" s="129"/>
      <c r="E35" s="129"/>
      <c r="F35" s="129"/>
      <c r="G35" s="129"/>
      <c r="I35" s="11" t="s">
        <v>43</v>
      </c>
      <c r="K35" s="25" t="str">
        <f>C35</f>
        <v>Hyperlink</v>
      </c>
    </row>
    <row r="36" spans="3:11" ht="15" outlineLevel="1" x14ac:dyDescent="0.25">
      <c r="C36" s="129"/>
      <c r="D36" s="129"/>
      <c r="E36" s="129"/>
      <c r="F36" s="129"/>
      <c r="G36" s="129"/>
      <c r="K36" s="25"/>
    </row>
    <row r="37" spans="3:11" ht="15" outlineLevel="1" x14ac:dyDescent="0.25">
      <c r="C37" s="129" t="s">
        <v>44</v>
      </c>
      <c r="D37" s="129"/>
      <c r="E37" s="129"/>
      <c r="F37" s="129"/>
      <c r="G37" s="129"/>
      <c r="I37" s="29">
        <f ca="1">Model_Start_Date</f>
        <v>43978</v>
      </c>
      <c r="K37" s="25" t="str">
        <f>C37</f>
        <v>Internal Reference</v>
      </c>
    </row>
    <row r="38" spans="3:11" ht="15" outlineLevel="1" x14ac:dyDescent="0.25">
      <c r="C38" s="129"/>
      <c r="D38" s="129"/>
      <c r="E38" s="129"/>
      <c r="F38" s="129"/>
      <c r="G38" s="129"/>
      <c r="K38" s="25"/>
    </row>
    <row r="39" spans="3:11" ht="15" outlineLevel="1" x14ac:dyDescent="0.25">
      <c r="C39" s="129" t="s">
        <v>45</v>
      </c>
      <c r="D39" s="129"/>
      <c r="E39" s="129"/>
      <c r="F39" s="129"/>
      <c r="G39" s="129"/>
      <c r="I39" s="30">
        <v>77</v>
      </c>
      <c r="K39" s="25" t="s">
        <v>46</v>
      </c>
    </row>
    <row r="40" spans="3:11" ht="15" outlineLevel="1" x14ac:dyDescent="0.25">
      <c r="C40" s="129"/>
      <c r="D40" s="129"/>
      <c r="E40" s="129"/>
      <c r="F40" s="129"/>
      <c r="G40" s="129"/>
      <c r="K40" s="25"/>
    </row>
    <row r="41" spans="3:11" ht="15" outlineLevel="1" x14ac:dyDescent="0.25">
      <c r="C41" s="129" t="s">
        <v>47</v>
      </c>
      <c r="D41" s="129"/>
      <c r="E41" s="129"/>
      <c r="F41" s="129"/>
      <c r="G41" s="129"/>
      <c r="I41" s="31">
        <f>I39</f>
        <v>77</v>
      </c>
      <c r="K41" s="25" t="str">
        <f>C41</f>
        <v>Line Total</v>
      </c>
    </row>
    <row r="42" spans="3:11" ht="15" outlineLevel="1" x14ac:dyDescent="0.25">
      <c r="C42" s="129"/>
      <c r="D42" s="129"/>
      <c r="E42" s="129"/>
      <c r="F42" s="129"/>
      <c r="G42" s="129"/>
      <c r="K42" s="25"/>
    </row>
    <row r="43" spans="3:11" ht="15" outlineLevel="1" x14ac:dyDescent="0.25">
      <c r="C43" s="129" t="s">
        <v>48</v>
      </c>
      <c r="D43" s="129"/>
      <c r="E43" s="129"/>
      <c r="F43" s="129"/>
      <c r="G43" s="129"/>
      <c r="I43" s="32">
        <v>365</v>
      </c>
      <c r="K43" s="25" t="str">
        <f>C43</f>
        <v>Parameter</v>
      </c>
    </row>
    <row r="44" spans="3:11" ht="15" outlineLevel="1" x14ac:dyDescent="0.25">
      <c r="C44" s="129"/>
      <c r="D44" s="129"/>
      <c r="E44" s="129"/>
      <c r="F44" s="129"/>
      <c r="G44" s="129"/>
      <c r="K44" s="25"/>
    </row>
    <row r="45" spans="3:11" ht="15" outlineLevel="1" x14ac:dyDescent="0.25">
      <c r="C45" s="129" t="s">
        <v>49</v>
      </c>
      <c r="D45" s="129"/>
      <c r="E45" s="129"/>
      <c r="F45" s="129"/>
      <c r="G45" s="129"/>
      <c r="I45" s="33" t="s">
        <v>50</v>
      </c>
      <c r="K45" s="25" t="str">
        <f>C45</f>
        <v>Range Name Description</v>
      </c>
    </row>
    <row r="46" spans="3:11" ht="15" outlineLevel="1" x14ac:dyDescent="0.25">
      <c r="C46" s="129"/>
      <c r="D46" s="129"/>
      <c r="E46" s="129"/>
      <c r="F46" s="129"/>
      <c r="G46" s="129"/>
      <c r="K46" s="25"/>
    </row>
    <row r="47" spans="3:11" ht="15" outlineLevel="1" x14ac:dyDescent="0.25">
      <c r="C47" s="129" t="s">
        <v>51</v>
      </c>
      <c r="D47" s="129"/>
      <c r="E47" s="129"/>
      <c r="F47" s="129"/>
      <c r="G47" s="129"/>
      <c r="I47" s="34">
        <f>ROW(C47)</f>
        <v>47</v>
      </c>
      <c r="K47" s="25" t="s">
        <v>52</v>
      </c>
    </row>
    <row r="48" spans="3:11" ht="15" outlineLevel="1" x14ac:dyDescent="0.25">
      <c r="C48" s="129"/>
      <c r="D48" s="129"/>
      <c r="E48" s="129"/>
      <c r="F48" s="129"/>
      <c r="G48" s="129"/>
      <c r="K48" s="25"/>
    </row>
    <row r="49" spans="2:13" ht="15" outlineLevel="1" x14ac:dyDescent="0.25">
      <c r="C49" s="129" t="s">
        <v>53</v>
      </c>
      <c r="D49" s="129"/>
      <c r="E49" s="129"/>
      <c r="F49" s="129"/>
      <c r="G49" s="129"/>
      <c r="I49" s="35">
        <f>I41</f>
        <v>77</v>
      </c>
      <c r="K49" s="25" t="str">
        <f>C49</f>
        <v>Row Summary</v>
      </c>
    </row>
    <row r="50" spans="2:13" ht="15" outlineLevel="1" x14ac:dyDescent="0.25">
      <c r="C50" s="129"/>
      <c r="D50" s="129"/>
      <c r="E50" s="129"/>
      <c r="F50" s="129"/>
      <c r="G50" s="129"/>
      <c r="K50" s="25"/>
    </row>
    <row r="51" spans="2:13" ht="15" outlineLevel="1" x14ac:dyDescent="0.25">
      <c r="C51" s="129" t="s">
        <v>54</v>
      </c>
      <c r="D51" s="129"/>
      <c r="E51" s="129"/>
      <c r="F51" s="129"/>
      <c r="G51" s="129"/>
      <c r="I51" s="36" t="s">
        <v>65</v>
      </c>
      <c r="K51" s="25" t="str">
        <f>C51</f>
        <v>Units</v>
      </c>
    </row>
    <row r="52" spans="2:13" ht="15" outlineLevel="1" x14ac:dyDescent="0.25">
      <c r="C52" s="129"/>
      <c r="D52" s="129"/>
      <c r="E52" s="129"/>
      <c r="F52" s="129"/>
      <c r="G52" s="129"/>
      <c r="K52" s="25"/>
    </row>
    <row r="53" spans="2:13" ht="15" outlineLevel="1" x14ac:dyDescent="0.25">
      <c r="C53" s="129" t="s">
        <v>55</v>
      </c>
      <c r="D53" s="129"/>
      <c r="E53" s="129"/>
      <c r="F53" s="129"/>
      <c r="G53" s="129"/>
      <c r="I53" s="37"/>
      <c r="K53" s="25" t="str">
        <f>C53</f>
        <v>WIP</v>
      </c>
    </row>
    <row r="54" spans="2:13" ht="15" outlineLevel="1" x14ac:dyDescent="0.25">
      <c r="C54" s="129"/>
      <c r="D54" s="129"/>
      <c r="E54" s="129"/>
      <c r="F54" s="129"/>
      <c r="G54" s="129"/>
      <c r="K54" s="25"/>
    </row>
    <row r="55" spans="2:13" outlineLevel="1" x14ac:dyDescent="0.2">
      <c r="C55" s="129"/>
      <c r="D55" s="129"/>
      <c r="E55" s="129"/>
      <c r="F55" s="129"/>
      <c r="G55" s="129"/>
    </row>
    <row r="56" spans="2:13" ht="16.5" thickBot="1" x14ac:dyDescent="0.3">
      <c r="B56" s="5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131" t="s">
        <v>28</v>
      </c>
      <c r="D58" s="131"/>
      <c r="E58" s="131"/>
      <c r="F58" s="131"/>
      <c r="G58" s="131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129" t="s">
        <v>57</v>
      </c>
      <c r="D60" s="129"/>
      <c r="E60" s="129"/>
      <c r="F60" s="129"/>
      <c r="G60" s="129"/>
      <c r="I60" s="53">
        <v>123456.789</v>
      </c>
      <c r="K60" s="25" t="str">
        <f t="shared" ref="K60:K66" si="0">C60</f>
        <v>Comma</v>
      </c>
    </row>
    <row r="61" spans="2:13" ht="15" outlineLevel="1" x14ac:dyDescent="0.25">
      <c r="C61" s="129"/>
      <c r="D61" s="129"/>
      <c r="E61" s="129"/>
      <c r="F61" s="129"/>
      <c r="G61" s="129"/>
      <c r="K61" s="25"/>
    </row>
    <row r="62" spans="2:13" ht="15" outlineLevel="1" x14ac:dyDescent="0.25">
      <c r="C62" s="129" t="s">
        <v>58</v>
      </c>
      <c r="D62" s="129"/>
      <c r="E62" s="129"/>
      <c r="F62" s="129"/>
      <c r="G62" s="129"/>
      <c r="I62" s="52">
        <v>-123456.789</v>
      </c>
      <c r="K62" s="25" t="str">
        <f t="shared" si="0"/>
        <v>Comma [0]</v>
      </c>
    </row>
    <row r="63" spans="2:13" ht="15" outlineLevel="1" x14ac:dyDescent="0.25">
      <c r="C63" s="129"/>
      <c r="D63" s="129"/>
      <c r="E63" s="129"/>
      <c r="F63" s="129"/>
      <c r="G63" s="129"/>
      <c r="K63" s="25"/>
    </row>
    <row r="64" spans="2:13" ht="15" outlineLevel="1" x14ac:dyDescent="0.25">
      <c r="C64" s="129" t="s">
        <v>59</v>
      </c>
      <c r="D64" s="129"/>
      <c r="E64" s="129"/>
      <c r="F64" s="129"/>
      <c r="G64" s="129"/>
      <c r="I64" s="54">
        <v>123456.789</v>
      </c>
      <c r="K64" s="25" t="str">
        <f t="shared" si="0"/>
        <v>Currency</v>
      </c>
    </row>
    <row r="65" spans="3:11" ht="15" outlineLevel="1" x14ac:dyDescent="0.25">
      <c r="C65" s="129"/>
      <c r="D65" s="129"/>
      <c r="E65" s="129"/>
      <c r="F65" s="129"/>
      <c r="G65" s="129"/>
      <c r="K65" s="25"/>
    </row>
    <row r="66" spans="3:11" ht="15" outlineLevel="1" x14ac:dyDescent="0.25">
      <c r="C66" s="129" t="s">
        <v>60</v>
      </c>
      <c r="D66" s="129"/>
      <c r="E66" s="129"/>
      <c r="F66" s="129"/>
      <c r="G66" s="129"/>
      <c r="I66" s="55">
        <v>123456.789</v>
      </c>
      <c r="K66" s="25" t="str">
        <f t="shared" si="0"/>
        <v>Currency [0]</v>
      </c>
    </row>
    <row r="67" spans="3:11" ht="15" outlineLevel="1" x14ac:dyDescent="0.25">
      <c r="C67" s="129"/>
      <c r="D67" s="129"/>
      <c r="E67" s="129"/>
      <c r="F67" s="129"/>
      <c r="G67" s="129"/>
      <c r="K67" s="25"/>
    </row>
    <row r="68" spans="3:11" ht="15" outlineLevel="1" x14ac:dyDescent="0.25">
      <c r="C68" s="130" t="s">
        <v>61</v>
      </c>
      <c r="D68" s="130"/>
      <c r="E68" s="130"/>
      <c r="F68" s="130"/>
      <c r="G68" s="130"/>
      <c r="H68" s="14"/>
      <c r="I68" s="56">
        <f ca="1">TODAY()</f>
        <v>43978</v>
      </c>
      <c r="J68" s="14"/>
      <c r="K68" s="25" t="str">
        <f>C68</f>
        <v>Date</v>
      </c>
    </row>
    <row r="69" spans="3:11" ht="15" outlineLevel="1" x14ac:dyDescent="0.25">
      <c r="C69" s="130"/>
      <c r="D69" s="130"/>
      <c r="E69" s="130"/>
      <c r="F69" s="130"/>
      <c r="G69" s="130"/>
      <c r="H69" s="14"/>
      <c r="I69" s="14"/>
      <c r="J69" s="14"/>
      <c r="K69" s="25"/>
    </row>
    <row r="70" spans="3:11" ht="15" outlineLevel="1" x14ac:dyDescent="0.25">
      <c r="C70" s="130" t="s">
        <v>62</v>
      </c>
      <c r="D70" s="130"/>
      <c r="E70" s="130"/>
      <c r="F70" s="130"/>
      <c r="G70" s="130"/>
      <c r="H70" s="14"/>
      <c r="I70" s="57">
        <f ca="1">TODAY()</f>
        <v>43978</v>
      </c>
      <c r="J70" s="14"/>
      <c r="K70" s="25" t="str">
        <f>C70</f>
        <v>Date Heading</v>
      </c>
    </row>
    <row r="71" spans="3:11" ht="15" outlineLevel="1" x14ac:dyDescent="0.25">
      <c r="C71" s="129"/>
      <c r="D71" s="129"/>
      <c r="E71" s="129"/>
      <c r="F71" s="129"/>
      <c r="G71" s="129"/>
      <c r="K71" s="25"/>
    </row>
    <row r="72" spans="3:11" ht="15" outlineLevel="1" x14ac:dyDescent="0.25">
      <c r="C72" s="129" t="s">
        <v>63</v>
      </c>
      <c r="D72" s="129"/>
      <c r="E72" s="129"/>
      <c r="F72" s="129"/>
      <c r="G72" s="129"/>
      <c r="I72" s="39">
        <v>-123456.789</v>
      </c>
      <c r="K72" s="25" t="str">
        <f>C72</f>
        <v>Numbers 0</v>
      </c>
    </row>
    <row r="73" spans="3:11" ht="15" outlineLevel="1" x14ac:dyDescent="0.25">
      <c r="C73" s="129"/>
      <c r="D73" s="129"/>
      <c r="E73" s="129"/>
      <c r="F73" s="129"/>
      <c r="G73" s="129"/>
      <c r="K73" s="25"/>
    </row>
    <row r="74" spans="3:11" ht="15" outlineLevel="1" x14ac:dyDescent="0.25">
      <c r="C74" s="129" t="s">
        <v>64</v>
      </c>
      <c r="D74" s="129"/>
      <c r="E74" s="129"/>
      <c r="F74" s="129"/>
      <c r="G74" s="129"/>
      <c r="I74" s="40">
        <v>0.5</v>
      </c>
      <c r="K74" s="25" t="str">
        <f>C74</f>
        <v>Percent</v>
      </c>
    </row>
    <row r="75" spans="3:11" outlineLevel="1" x14ac:dyDescent="0.2">
      <c r="C75" s="129"/>
      <c r="D75" s="129"/>
      <c r="E75" s="129"/>
      <c r="F75" s="129"/>
      <c r="G75" s="129"/>
    </row>
    <row r="76" spans="3:11" outlineLevel="1" x14ac:dyDescent="0.2">
      <c r="C76" s="129"/>
      <c r="D76" s="129"/>
      <c r="E76" s="129"/>
      <c r="F76" s="129"/>
      <c r="G76" s="129"/>
    </row>
    <row r="77" spans="3:11" x14ac:dyDescent="0.2">
      <c r="C77" s="129"/>
      <c r="D77" s="129"/>
      <c r="E77" s="129"/>
      <c r="F77" s="129"/>
      <c r="G77" s="129"/>
    </row>
    <row r="78" spans="3:11" x14ac:dyDescent="0.2">
      <c r="C78" s="129"/>
      <c r="D78" s="129"/>
      <c r="E78" s="129"/>
      <c r="F78" s="129"/>
      <c r="G78" s="129"/>
    </row>
    <row r="79" spans="3:11" x14ac:dyDescent="0.2">
      <c r="C79" s="129"/>
      <c r="D79" s="129"/>
      <c r="E79" s="129"/>
      <c r="F79" s="129"/>
      <c r="G79" s="129"/>
    </row>
    <row r="80" spans="3:11" x14ac:dyDescent="0.2">
      <c r="C80" s="129"/>
      <c r="D80" s="129"/>
      <c r="E80" s="129"/>
      <c r="F80" s="129"/>
      <c r="G80" s="129"/>
    </row>
    <row r="81" spans="3:7" x14ac:dyDescent="0.2">
      <c r="C81" s="129"/>
      <c r="D81" s="129"/>
      <c r="E81" s="129"/>
      <c r="F81" s="129"/>
      <c r="G81" s="129"/>
    </row>
  </sheetData>
  <mergeCells count="65">
    <mergeCell ref="C17:G1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</sheetPr>
  <dimension ref="A1:O23"/>
  <sheetViews>
    <sheetView showGridLines="0" zoomScaleNormal="100" workbookViewId="0">
      <pane ySplit="9" topLeftCell="A10" activePane="bottomLeft" state="frozen"/>
      <selection activeCell="G29" sqref="G29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1" customFormat="1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Timing</v>
      </c>
      <c r="I1" s="60"/>
      <c r="J1" s="60"/>
    </row>
    <row r="2" spans="1:15" s="41" customFormat="1" ht="18" x14ac:dyDescent="0.25">
      <c r="A2" s="49" t="str">
        <f ca="1">Model_Name</f>
        <v>Chapter 2.1 - SP Multiple Criteria Examples with Comprehensive Example.xlsx</v>
      </c>
    </row>
    <row r="3" spans="1:15" s="41" customFormat="1" x14ac:dyDescent="0.2">
      <c r="A3" s="109" t="s">
        <v>1</v>
      </c>
      <c r="B3" s="60"/>
      <c r="C3" s="60"/>
      <c r="D3" s="60"/>
      <c r="E3" s="60"/>
    </row>
    <row r="4" spans="1:15" s="41" customFormat="1" x14ac:dyDescent="0.2"/>
    <row r="5" spans="1:15" s="1" customFormat="1" collapsed="1" x14ac:dyDescent="0.2">
      <c r="J5" s="43">
        <f ca="1">J$7</f>
        <v>44012</v>
      </c>
      <c r="K5" s="43">
        <f ca="1">K$7</f>
        <v>44104</v>
      </c>
      <c r="L5" s="43">
        <f ca="1">L$7</f>
        <v>44196</v>
      </c>
      <c r="M5" s="43">
        <f ca="1">M$7</f>
        <v>44286</v>
      </c>
      <c r="N5" s="43">
        <f ca="1">N$7</f>
        <v>44377</v>
      </c>
    </row>
    <row r="6" spans="1:15" s="41" customFormat="1" hidden="1" outlineLevel="1" x14ac:dyDescent="0.2">
      <c r="C6" s="1" t="s">
        <v>67</v>
      </c>
      <c r="J6" s="42">
        <f ca="1">IF(J$9=1,Model_Start_Date,I$7+1)</f>
        <v>43978</v>
      </c>
      <c r="K6" s="42">
        <f ca="1">IF(K$9=1,Model_Start_Date,J$7+1)</f>
        <v>44013</v>
      </c>
      <c r="L6" s="42">
        <f ca="1">IF(L$9=1,Model_Start_Date,K$7+1)</f>
        <v>44105</v>
      </c>
      <c r="M6" s="42">
        <f ca="1">IF(M$9=1,Model_Start_Date,L$7+1)</f>
        <v>44197</v>
      </c>
      <c r="N6" s="42">
        <f ca="1">IF(N$9=1,Model_Start_Date,M$7+1)</f>
        <v>44287</v>
      </c>
    </row>
    <row r="7" spans="1:15" s="41" customFormat="1" hidden="1" outlineLevel="1" x14ac:dyDescent="0.2">
      <c r="C7" s="1" t="s">
        <v>68</v>
      </c>
      <c r="J7" s="42">
        <f ca="1">EOMONTH(J$6,MOD(Periodicity+Reporting_Month_Factor-MONTH(J$6),Periodicity))</f>
        <v>44012</v>
      </c>
      <c r="K7" s="42">
        <f ca="1">EOMONTH(K$6,MOD(Periodicity+Reporting_Month_Factor-MONTH(K$6),Periodicity))</f>
        <v>44104</v>
      </c>
      <c r="L7" s="42">
        <f ca="1">EOMONTH(L$6,MOD(Periodicity+Reporting_Month_Factor-MONTH(L$6),Periodicity))</f>
        <v>44196</v>
      </c>
      <c r="M7" s="42">
        <f ca="1">EOMONTH(M$6,MOD(Periodicity+Reporting_Month_Factor-MONTH(M$6),Periodicity))</f>
        <v>44286</v>
      </c>
      <c r="N7" s="42">
        <f ca="1">EOMONTH(N$6,MOD(Periodicity+Reporting_Month_Factor-MONTH(N$6),Periodicity))</f>
        <v>44377</v>
      </c>
    </row>
    <row r="8" spans="1:15" s="41" customFormat="1" hidden="1" outlineLevel="1" x14ac:dyDescent="0.2">
      <c r="C8" s="1" t="s">
        <v>70</v>
      </c>
      <c r="J8" s="38">
        <f ca="1">J7-J6+1</f>
        <v>35</v>
      </c>
      <c r="K8" s="38">
        <f ca="1">K7-K6+1</f>
        <v>92</v>
      </c>
      <c r="L8" s="38">
        <f ca="1">L7-L6+1</f>
        <v>92</v>
      </c>
      <c r="M8" s="38">
        <f ca="1">M7-M6+1</f>
        <v>90</v>
      </c>
      <c r="N8" s="38">
        <f ca="1">N7-N6+1</f>
        <v>91</v>
      </c>
    </row>
    <row r="9" spans="1:15" s="41" customFormat="1" ht="15" hidden="1" outlineLevel="1" x14ac:dyDescent="0.25">
      <c r="C9" s="1" t="s">
        <v>69</v>
      </c>
      <c r="I9" s="27"/>
      <c r="J9" s="38">
        <f>N(I$9)+1</f>
        <v>1</v>
      </c>
      <c r="K9" s="38">
        <f>N(J$9)+1</f>
        <v>2</v>
      </c>
      <c r="L9" s="38">
        <f>N(K$9)+1</f>
        <v>3</v>
      </c>
      <c r="M9" s="38">
        <f>N(L$9)+1</f>
        <v>4</v>
      </c>
      <c r="N9" s="38">
        <f>N(M$9)+1</f>
        <v>5</v>
      </c>
    </row>
    <row r="10" spans="1:15" s="41" customFormat="1" x14ac:dyDescent="0.2"/>
    <row r="11" spans="1:15" s="41" customFormat="1" ht="16.5" thickBot="1" x14ac:dyDescent="0.3">
      <c r="B11" s="50">
        <f>MAX($B$10:$B10)+1</f>
        <v>1</v>
      </c>
      <c r="C11" s="45" t="s">
        <v>71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41" customFormat="1" ht="12.75" thickTop="1" x14ac:dyDescent="0.2"/>
    <row r="13" spans="1:15" s="41" customFormat="1" ht="16.5" x14ac:dyDescent="0.25">
      <c r="C13" s="3" t="s">
        <v>72</v>
      </c>
    </row>
    <row r="15" spans="1:15" x14ac:dyDescent="0.2">
      <c r="D15" t="s">
        <v>73</v>
      </c>
      <c r="H15" s="58">
        <f ca="1">TODAY()</f>
        <v>43978</v>
      </c>
    </row>
    <row r="17" spans="4:9" x14ac:dyDescent="0.2">
      <c r="D17" t="s">
        <v>74</v>
      </c>
      <c r="H17" s="51">
        <v>3</v>
      </c>
    </row>
    <row r="19" spans="4:9" x14ac:dyDescent="0.2">
      <c r="D19" t="s">
        <v>75</v>
      </c>
      <c r="H19" s="51">
        <v>12</v>
      </c>
      <c r="I19" s="22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76</v>
      </c>
      <c r="H21" s="39">
        <f>MOD(Example_Reporting_Month-1,Periodicity)+1</f>
        <v>3</v>
      </c>
    </row>
    <row r="23" spans="4:9" x14ac:dyDescent="0.2">
      <c r="D23" t="s">
        <v>77</v>
      </c>
      <c r="H23" s="59">
        <v>12</v>
      </c>
    </row>
  </sheetData>
  <dataValidations count="1">
    <dataValidation type="list" allowBlank="1" showInputMessage="1" showErrorMessage="1" sqref="H17" xr:uid="{00000000-0002-0000-0300-000000000000}">
      <formula1>"1,2,3,4,6,12"</formula1>
    </dataValidation>
  </dataValidations>
  <hyperlinks>
    <hyperlink ref="A3:E3" location="HL_Navigator" tooltip="Go to Navigator (Table of Contents)" display="Navigator" xr:uid="{00000000-0004-0000-0300-000001000000}"/>
    <hyperlink ref="A3" location="HL_Navigator" display="Navigator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outlinePr summaryBelow="0"/>
  </sheetPr>
  <dimension ref="A1:S76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Model Parameters</v>
      </c>
      <c r="J1" s="128"/>
      <c r="K1" s="128"/>
    </row>
    <row r="2" spans="1:18" ht="18" x14ac:dyDescent="0.25">
      <c r="A2" s="49" t="str">
        <f ca="1">Model_Name</f>
        <v>Chapter 2.1 - SP Multiple Criteria Examples with Comprehensive Example.xlsx</v>
      </c>
    </row>
    <row r="3" spans="1:18" x14ac:dyDescent="0.2">
      <c r="A3" s="109" t="s">
        <v>1</v>
      </c>
      <c r="B3" s="60"/>
      <c r="C3" s="60"/>
      <c r="D3" s="60"/>
      <c r="E3" s="60"/>
    </row>
    <row r="4" spans="1:18" x14ac:dyDescent="0.2">
      <c r="D4" s="80"/>
      <c r="E4" s="80"/>
      <c r="F4" s="80"/>
      <c r="G4" s="80"/>
      <c r="H4" s="80"/>
      <c r="I4" s="80"/>
      <c r="J4" s="80"/>
    </row>
    <row r="6" spans="1:18" ht="16.5" thickBot="1" x14ac:dyDescent="0.3">
      <c r="B6" s="50">
        <f>MAX($B$5:$B5)+1</f>
        <v>1</v>
      </c>
      <c r="C6" s="2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3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2</v>
      </c>
    </row>
    <row r="11" spans="1:18" outlineLevel="1" x14ac:dyDescent="0.2">
      <c r="E11" t="s">
        <v>4</v>
      </c>
      <c r="G11" s="133" t="str">
        <f ca="1">IF(ISERROR(OR(FIND("[",CELL("filename",A1)),FIND("]",CELL("filename",A1)))),"",MID(CELL("filename",A1),FIND("[",CELL("filename",A1))+1,FIND("]",CELL("filename",A1))-FIND("[",CELL("filename",A1))-1))</f>
        <v>Chapter 2.1 - SP Multiple Criteria Examples with Comprehensive Example.xlsx</v>
      </c>
      <c r="H11" s="134"/>
      <c r="I11" s="134"/>
      <c r="J11" s="134"/>
      <c r="K11" s="134"/>
      <c r="L11" s="134"/>
      <c r="M11" s="134"/>
      <c r="N11" s="135"/>
    </row>
    <row r="12" spans="1:18" outlineLevel="1" x14ac:dyDescent="0.2">
      <c r="E12" t="s">
        <v>5</v>
      </c>
      <c r="G12" s="136" t="s">
        <v>78</v>
      </c>
      <c r="H12" s="136"/>
      <c r="I12" s="136"/>
      <c r="J12" s="136"/>
      <c r="K12" s="136"/>
      <c r="L12" s="136"/>
      <c r="M12" s="136"/>
      <c r="N12" s="136"/>
    </row>
    <row r="13" spans="1:18" outlineLevel="1" x14ac:dyDescent="0.2"/>
    <row r="14" spans="1:18" outlineLevel="1" x14ac:dyDescent="0.2"/>
    <row r="15" spans="1:18" ht="16.5" thickBot="1" x14ac:dyDescent="0.3">
      <c r="B15" s="50">
        <f>MAX($B$5:$B14)+1</f>
        <v>2</v>
      </c>
      <c r="C15" s="2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9" ht="16.5" outlineLevel="1" x14ac:dyDescent="0.25">
      <c r="C17" s="3" t="s">
        <v>7</v>
      </c>
    </row>
    <row r="18" spans="3:9" outlineLevel="1" x14ac:dyDescent="0.2"/>
    <row r="19" spans="3:9" outlineLevel="1" x14ac:dyDescent="0.2">
      <c r="E19" t="s">
        <v>8</v>
      </c>
      <c r="G19" s="5">
        <v>365</v>
      </c>
      <c r="I19" s="22" t="s">
        <v>102</v>
      </c>
    </row>
    <row r="20" spans="3:9" outlineLevel="1" x14ac:dyDescent="0.2">
      <c r="E20" t="s">
        <v>9</v>
      </c>
      <c r="G20" s="5">
        <v>1</v>
      </c>
      <c r="I20" s="22" t="s">
        <v>103</v>
      </c>
    </row>
    <row r="21" spans="3:9" outlineLevel="1" x14ac:dyDescent="0.2">
      <c r="E21" t="s">
        <v>10</v>
      </c>
      <c r="G21" s="5">
        <v>3</v>
      </c>
      <c r="I21" s="22" t="s">
        <v>104</v>
      </c>
    </row>
    <row r="22" spans="3:9" outlineLevel="1" x14ac:dyDescent="0.2">
      <c r="E22" t="s">
        <v>11</v>
      </c>
      <c r="G22" s="5">
        <v>6</v>
      </c>
      <c r="I22" s="22" t="s">
        <v>105</v>
      </c>
    </row>
    <row r="23" spans="3:9" outlineLevel="1" x14ac:dyDescent="0.2">
      <c r="E23" t="s">
        <v>12</v>
      </c>
      <c r="G23" s="5">
        <v>12</v>
      </c>
      <c r="I23" s="22" t="s">
        <v>106</v>
      </c>
    </row>
    <row r="24" spans="3:9" outlineLevel="1" x14ac:dyDescent="0.2">
      <c r="E24" t="s">
        <v>13</v>
      </c>
      <c r="G24" s="5">
        <v>4</v>
      </c>
      <c r="I24" s="22" t="s">
        <v>107</v>
      </c>
    </row>
    <row r="25" spans="3:9" outlineLevel="1" x14ac:dyDescent="0.2"/>
    <row r="26" spans="3:9" outlineLevel="1" x14ac:dyDescent="0.2">
      <c r="E26" t="s">
        <v>14</v>
      </c>
      <c r="G26" s="5">
        <v>5</v>
      </c>
      <c r="I26" s="22" t="s">
        <v>108</v>
      </c>
    </row>
    <row r="27" spans="3:9" outlineLevel="1" x14ac:dyDescent="0.2"/>
    <row r="28" spans="3:9" outlineLevel="1" x14ac:dyDescent="0.2">
      <c r="E28" t="s">
        <v>15</v>
      </c>
      <c r="G28" s="6">
        <v>9.9999999999999997E+98</v>
      </c>
      <c r="I28" s="22" t="s">
        <v>109</v>
      </c>
    </row>
    <row r="29" spans="3:9" outlineLevel="1" x14ac:dyDescent="0.2">
      <c r="E29" t="s">
        <v>16</v>
      </c>
      <c r="G29" s="6">
        <v>1E-8</v>
      </c>
      <c r="I29" s="22" t="s">
        <v>110</v>
      </c>
    </row>
    <row r="30" spans="3:9" outlineLevel="1" x14ac:dyDescent="0.2"/>
    <row r="31" spans="3:9" outlineLevel="1" x14ac:dyDescent="0.2">
      <c r="E31" t="s">
        <v>17</v>
      </c>
      <c r="G31" s="5">
        <v>1000</v>
      </c>
      <c r="I31" s="22" t="s">
        <v>17</v>
      </c>
    </row>
    <row r="32" spans="3:9" outlineLevel="1" x14ac:dyDescent="0.2"/>
    <row r="33" spans="2:18" outlineLevel="1" x14ac:dyDescent="0.2"/>
    <row r="35" spans="2:18" ht="16.5" thickBot="1" x14ac:dyDescent="0.3">
      <c r="B35" s="50">
        <f>MAX($B$5:$B34)+1</f>
        <v>3</v>
      </c>
      <c r="C35" s="2" t="s">
        <v>79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thickTop="1" x14ac:dyDescent="0.2"/>
    <row r="37" spans="2:18" ht="20.25" x14ac:dyDescent="0.3">
      <c r="C37" s="48" t="s">
        <v>80</v>
      </c>
    </row>
    <row r="39" spans="2:18" x14ac:dyDescent="0.2">
      <c r="E39" t="s">
        <v>67</v>
      </c>
      <c r="G39" s="61">
        <v>44013</v>
      </c>
    </row>
    <row r="42" spans="2:18" ht="20.25" x14ac:dyDescent="0.3">
      <c r="C42" s="48" t="s">
        <v>54</v>
      </c>
    </row>
    <row r="44" spans="2:18" x14ac:dyDescent="0.2">
      <c r="E44" t="s">
        <v>81</v>
      </c>
      <c r="G44" s="5" t="s">
        <v>92</v>
      </c>
      <c r="I44" s="22" t="s">
        <v>81</v>
      </c>
    </row>
    <row r="45" spans="2:18" x14ac:dyDescent="0.2">
      <c r="E45" t="s">
        <v>59</v>
      </c>
      <c r="G45" s="5" t="s">
        <v>93</v>
      </c>
      <c r="I45" s="22" t="s">
        <v>59</v>
      </c>
    </row>
    <row r="46" spans="2:18" x14ac:dyDescent="0.2">
      <c r="E46" t="s">
        <v>82</v>
      </c>
      <c r="G46" s="5" t="s">
        <v>94</v>
      </c>
      <c r="I46" s="22" t="s">
        <v>82</v>
      </c>
    </row>
    <row r="47" spans="2:18" x14ac:dyDescent="0.2">
      <c r="E47" t="s">
        <v>83</v>
      </c>
      <c r="G47" s="5" t="s">
        <v>95</v>
      </c>
      <c r="I47" s="22" t="s">
        <v>83</v>
      </c>
    </row>
    <row r="48" spans="2:18" x14ac:dyDescent="0.2">
      <c r="E48" t="s">
        <v>84</v>
      </c>
      <c r="G48" s="5" t="s">
        <v>96</v>
      </c>
      <c r="I48" s="22" t="s">
        <v>111</v>
      </c>
    </row>
    <row r="49" spans="1:19" x14ac:dyDescent="0.2">
      <c r="E49" t="s">
        <v>85</v>
      </c>
      <c r="G49" s="5" t="s">
        <v>85</v>
      </c>
      <c r="I49" s="22" t="s">
        <v>85</v>
      </c>
    </row>
    <row r="50" spans="1:19" x14ac:dyDescent="0.2">
      <c r="E50" t="s">
        <v>86</v>
      </c>
      <c r="G50" s="5" t="s">
        <v>97</v>
      </c>
      <c r="I50" s="22" t="s">
        <v>111</v>
      </c>
    </row>
    <row r="51" spans="1:19" x14ac:dyDescent="0.2">
      <c r="E51" t="s">
        <v>87</v>
      </c>
      <c r="G51" s="5" t="s">
        <v>98</v>
      </c>
      <c r="I51" s="22" t="s">
        <v>112</v>
      </c>
    </row>
    <row r="54" spans="1:19" ht="20.25" x14ac:dyDescent="0.3">
      <c r="C54" s="48" t="s">
        <v>88</v>
      </c>
    </row>
    <row r="56" spans="1:19" x14ac:dyDescent="0.2">
      <c r="E56" t="s">
        <v>89</v>
      </c>
      <c r="G56" s="5" t="s">
        <v>99</v>
      </c>
      <c r="I56" s="22" t="s">
        <v>113</v>
      </c>
    </row>
    <row r="57" spans="1:19" x14ac:dyDescent="0.2">
      <c r="E57" t="s">
        <v>90</v>
      </c>
      <c r="G57" s="5" t="s">
        <v>100</v>
      </c>
      <c r="I57" s="22" t="s">
        <v>114</v>
      </c>
    </row>
    <row r="58" spans="1:19" x14ac:dyDescent="0.2">
      <c r="E58" t="s">
        <v>91</v>
      </c>
      <c r="G58" s="5" t="s">
        <v>101</v>
      </c>
      <c r="I58" s="22" t="s">
        <v>115</v>
      </c>
    </row>
    <row r="62" spans="1:19" ht="16.5" thickBot="1" x14ac:dyDescent="0.3">
      <c r="A62" s="68"/>
      <c r="B62" s="50">
        <f>MAX($B$5:$B61)+1</f>
        <v>4</v>
      </c>
      <c r="C62" s="2" t="s">
        <v>121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68"/>
    </row>
    <row r="63" spans="1:19" ht="12.75" thickTop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1:19" ht="20.25" x14ac:dyDescent="0.3">
      <c r="A64" s="68"/>
      <c r="B64" s="68"/>
      <c r="C64" s="48" t="s">
        <v>122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1:19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1:19" x14ac:dyDescent="0.2">
      <c r="A66" s="68"/>
      <c r="B66" s="68"/>
      <c r="C66" s="68"/>
      <c r="D66" s="68"/>
      <c r="E66" s="68">
        <v>1</v>
      </c>
      <c r="F66" s="68"/>
      <c r="G66" s="5">
        <f>E66</f>
        <v>1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1:19" s="68" customFormat="1" x14ac:dyDescent="0.2">
      <c r="E67" s="68">
        <v>2</v>
      </c>
      <c r="G67" s="5">
        <f>E67</f>
        <v>2</v>
      </c>
    </row>
    <row r="68" spans="1:19" s="68" customFormat="1" x14ac:dyDescent="0.2">
      <c r="E68" s="68">
        <v>3</v>
      </c>
      <c r="G68" s="5">
        <f>E68</f>
        <v>3</v>
      </c>
    </row>
    <row r="69" spans="1:19" s="68" customFormat="1" x14ac:dyDescent="0.2">
      <c r="E69" s="68">
        <v>4</v>
      </c>
      <c r="G69" s="5">
        <f>E69</f>
        <v>4</v>
      </c>
    </row>
    <row r="70" spans="1:19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1:19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ht="20.25" x14ac:dyDescent="0.3">
      <c r="A72" s="68"/>
      <c r="B72" s="68"/>
      <c r="C72" s="48" t="s">
        <v>123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1:19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1:19" x14ac:dyDescent="0.2">
      <c r="A74" s="68"/>
      <c r="B74" s="68"/>
      <c r="C74" s="68"/>
      <c r="D74" s="68"/>
      <c r="E74" s="68" t="s">
        <v>117</v>
      </c>
      <c r="F74" s="68"/>
      <c r="G74" s="5" t="str">
        <f>E74</f>
        <v>X</v>
      </c>
      <c r="H74" s="68"/>
      <c r="I74" s="22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1:19" x14ac:dyDescent="0.2">
      <c r="A75" s="68"/>
      <c r="B75" s="68"/>
      <c r="C75" s="68"/>
      <c r="D75" s="68"/>
      <c r="E75" s="68" t="s">
        <v>119</v>
      </c>
      <c r="F75" s="68"/>
      <c r="G75" s="5" t="str">
        <f>E75</f>
        <v>Y</v>
      </c>
      <c r="H75" s="68"/>
      <c r="I75" s="22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1:19" x14ac:dyDescent="0.2">
      <c r="A76" s="68"/>
      <c r="B76" s="68"/>
      <c r="C76" s="68"/>
      <c r="D76" s="68"/>
      <c r="E76" s="68" t="s">
        <v>118</v>
      </c>
      <c r="F76" s="68"/>
      <c r="G76" s="5" t="str">
        <f>E76</f>
        <v>Z</v>
      </c>
      <c r="H76" s="68"/>
      <c r="I76" s="22"/>
      <c r="J76" s="68"/>
      <c r="K76" s="68"/>
      <c r="L76" s="68"/>
      <c r="M76" s="68"/>
      <c r="N76" s="68"/>
      <c r="O76" s="68"/>
      <c r="P76" s="68"/>
      <c r="Q76" s="68"/>
      <c r="R76" s="68"/>
      <c r="S76" s="68"/>
    </row>
  </sheetData>
  <sheetProtection formatColumns="0" formatRows="0"/>
  <mergeCells count="3">
    <mergeCell ref="J1:K1"/>
    <mergeCell ref="G11:N11"/>
    <mergeCell ref="G12:N12"/>
  </mergeCells>
  <conditionalFormatting sqref="I4">
    <cfRule type="cellIs" dxfId="16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13B1-1AA8-4FAB-A5BD-D96DD28D36A9}">
  <sheetPr codeName="Sheet12"/>
  <dimension ref="A1:H2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77" customWidth="1"/>
    <col min="6" max="7" width="11.7109375" style="77" customWidth="1"/>
    <col min="8" max="8" width="13.5703125" style="77" bestFit="1" customWidth="1"/>
    <col min="9" max="9" width="11.7109375" style="77" customWidth="1"/>
    <col min="10" max="16384" width="9.140625" style="77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Single _SUMIF_Ex1a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126</v>
      </c>
    </row>
    <row r="9" spans="1:8" ht="15" x14ac:dyDescent="0.25">
      <c r="C9" s="4" t="s">
        <v>127</v>
      </c>
    </row>
    <row r="11" spans="1:8" x14ac:dyDescent="0.2">
      <c r="F11" s="78" t="s">
        <v>120</v>
      </c>
      <c r="G11" s="78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4</v>
      </c>
      <c r="G21" s="62" t="s">
        <v>119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136</v>
      </c>
    </row>
    <row r="26" spans="3:8" x14ac:dyDescent="0.2">
      <c r="E26" s="77" t="s">
        <v>120</v>
      </c>
      <c r="G26" s="62">
        <v>1</v>
      </c>
    </row>
    <row r="28" spans="3:8" ht="12.75" thickBot="1" x14ac:dyDescent="0.25">
      <c r="E28" s="77" t="s">
        <v>116</v>
      </c>
      <c r="G28" s="81">
        <f>SUMIF(F12:F21,G26,H12:H21)</f>
        <v>1000</v>
      </c>
      <c r="H28" s="86" t="str">
        <f ca="1">_xlfn.FORMULATEXT(G28)</f>
        <v>=SUMIF(F12:F21,G26,H12:H21)</v>
      </c>
    </row>
    <row r="29" spans="3:8" ht="12.75" thickTop="1" x14ac:dyDescent="0.2">
      <c r="G29" s="73"/>
      <c r="H29" s="74"/>
    </row>
  </sheetData>
  <conditionalFormatting sqref="F12:H21">
    <cfRule type="expression" dxfId="15" priority="2">
      <formula>$F12=$G$26</formula>
    </cfRule>
  </conditionalFormatting>
  <dataValidations disablePrompts="1" count="2">
    <dataValidation type="list" allowBlank="1" showInputMessage="1" showErrorMessage="1" sqref="G12:G21" xr:uid="{06EB91C6-3422-4138-8821-B2857177D2E8}">
      <formula1>LI_ProductTypes</formula1>
    </dataValidation>
    <dataValidation type="list" allowBlank="1" showInputMessage="1" showErrorMessage="1" sqref="G26 F12:F21" xr:uid="{CEF057AF-852C-4E44-AF9E-237C3C6BFF9C}">
      <formula1>LI_BusinessUnits</formula1>
    </dataValidation>
  </dataValidations>
  <hyperlinks>
    <hyperlink ref="A3" location="HL_Navigator" display="Navigator" xr:uid="{5ABEC9D0-E597-47AF-BB96-286C4586B229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3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65" customWidth="1"/>
    <col min="6" max="7" width="11.7109375" style="65" customWidth="1"/>
    <col min="8" max="8" width="13.5703125" style="65" bestFit="1" customWidth="1"/>
    <col min="9" max="9" width="11.7109375" style="65" customWidth="1"/>
    <col min="10" max="16384" width="9.140625" style="65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Single _SUMIF_Ex1b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168</v>
      </c>
      <c r="C7" s="68"/>
    </row>
    <row r="8" spans="1:8" x14ac:dyDescent="0.2">
      <c r="B8" s="68"/>
      <c r="C8" s="68"/>
    </row>
    <row r="9" spans="1:8" ht="15" x14ac:dyDescent="0.25">
      <c r="B9" s="68"/>
      <c r="C9" s="4" t="s">
        <v>127</v>
      </c>
    </row>
    <row r="11" spans="1:8" x14ac:dyDescent="0.2">
      <c r="F11" s="69" t="s">
        <v>120</v>
      </c>
      <c r="G11" s="64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4</v>
      </c>
      <c r="G21" s="62" t="s">
        <v>119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136</v>
      </c>
    </row>
    <row r="26" spans="3:8" x14ac:dyDescent="0.2">
      <c r="D26" s="68"/>
      <c r="E26" s="68" t="s">
        <v>124</v>
      </c>
      <c r="F26" s="68"/>
      <c r="G26" s="62" t="s">
        <v>117</v>
      </c>
    </row>
    <row r="27" spans="3:8" x14ac:dyDescent="0.2">
      <c r="D27" s="68"/>
      <c r="E27" s="68"/>
      <c r="F27" s="68"/>
      <c r="G27" s="68"/>
    </row>
    <row r="28" spans="3:8" ht="12.75" thickBot="1" x14ac:dyDescent="0.25">
      <c r="D28" s="68"/>
      <c r="E28" s="68" t="s">
        <v>116</v>
      </c>
      <c r="F28" s="68"/>
      <c r="G28" s="81">
        <f>SUMIF(G12:G21,G26,H12:H21)</f>
        <v>1200</v>
      </c>
      <c r="H28" s="86" t="str">
        <f ca="1">_xlfn.FORMULATEXT(G28)</f>
        <v>=SUMIF(G12:G21,G26,H12:H21)</v>
      </c>
    </row>
    <row r="29" spans="3:8" ht="12.75" thickTop="1" x14ac:dyDescent="0.2"/>
    <row r="31" spans="3:8" ht="15" x14ac:dyDescent="0.25">
      <c r="C31" s="4" t="s">
        <v>167</v>
      </c>
      <c r="D31" s="82"/>
      <c r="E31" s="82"/>
      <c r="F31" s="82"/>
      <c r="G31" s="82"/>
      <c r="H31" s="82"/>
    </row>
    <row r="32" spans="3:8" x14ac:dyDescent="0.2">
      <c r="C32" s="82"/>
      <c r="D32" s="82"/>
      <c r="E32" s="82"/>
      <c r="F32" s="82"/>
      <c r="G32" s="82"/>
      <c r="H32" s="82"/>
    </row>
    <row r="33" spans="3:8" x14ac:dyDescent="0.2">
      <c r="C33" s="82"/>
      <c r="D33" s="82"/>
      <c r="E33" s="82" t="s">
        <v>124</v>
      </c>
      <c r="F33" s="82"/>
      <c r="G33" s="62" t="s">
        <v>117</v>
      </c>
      <c r="H33" s="82"/>
    </row>
    <row r="34" spans="3:8" x14ac:dyDescent="0.2">
      <c r="C34" s="82"/>
      <c r="D34" s="82"/>
      <c r="E34" s="82"/>
      <c r="F34" s="82"/>
      <c r="G34" s="82"/>
      <c r="H34" s="82"/>
    </row>
    <row r="35" spans="3:8" ht="12.75" thickBot="1" x14ac:dyDescent="0.25">
      <c r="C35" s="82"/>
      <c r="D35" s="82"/>
      <c r="E35" s="82" t="s">
        <v>165</v>
      </c>
      <c r="F35" s="82"/>
      <c r="G35" s="88">
        <f>COUNTIF(G12:G21,G33)</f>
        <v>3</v>
      </c>
      <c r="H35" s="86" t="str">
        <f ca="1">_xlfn.FORMULATEXT(G35)</f>
        <v>=COUNTIF(G12:G21,G33)</v>
      </c>
    </row>
    <row r="36" spans="3:8" ht="12.75" thickTop="1" x14ac:dyDescent="0.2"/>
    <row r="38" spans="3:8" ht="12.75" thickBot="1" x14ac:dyDescent="0.25">
      <c r="C38" s="82" t="s">
        <v>166</v>
      </c>
      <c r="D38" s="82"/>
      <c r="E38" s="82"/>
      <c r="F38" s="82"/>
      <c r="G38" s="81">
        <f>IF(G35&lt;&gt;0,G28/G35,)</f>
        <v>400</v>
      </c>
      <c r="H38" s="86" t="str">
        <f ca="1">_xlfn.FORMULATEXT(G38)</f>
        <v>=IF(G35&lt;&gt;0,G28/G35,)</v>
      </c>
    </row>
    <row r="39" spans="3:8" ht="12.75" thickTop="1" x14ac:dyDescent="0.2"/>
  </sheetData>
  <conditionalFormatting sqref="F12:H21">
    <cfRule type="expression" dxfId="14" priority="1">
      <formula>$G12=$G$26</formula>
    </cfRule>
  </conditionalFormatting>
  <dataValidations count="2">
    <dataValidation type="list" allowBlank="1" showInputMessage="1" showErrorMessage="1" sqref="F12:F21" xr:uid="{00000000-0002-0000-0500-000000000000}">
      <formula1>LI_BusinessUnits</formula1>
    </dataValidation>
    <dataValidation type="list" allowBlank="1" showInputMessage="1" showErrorMessage="1" sqref="G12:G21 G26 G33" xr:uid="{00000000-0002-0000-0500-000001000000}">
      <formula1>LI_ProductTypes</formula1>
    </dataValidation>
  </dataValidations>
  <hyperlinks>
    <hyperlink ref="A3" location="HL_Navigator" display="Navigator" xr:uid="{BE3C2D20-CA19-47DF-BB86-E0B23036C212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92A5-4824-40E8-91A4-15E97A8D80F7}">
  <sheetPr codeName="Sheet14"/>
  <dimension ref="A1:H29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9.140625" defaultRowHeight="12" x14ac:dyDescent="0.2"/>
  <cols>
    <col min="1" max="5" width="3.7109375" style="77" customWidth="1"/>
    <col min="6" max="7" width="11.7109375" style="77" customWidth="1"/>
    <col min="8" max="8" width="13.5703125" style="77" bestFit="1" customWidth="1"/>
    <col min="9" max="9" width="11.7109375" style="77" customWidth="1"/>
    <col min="10" max="16384" width="9.140625" style="77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Single _SUMIF_Ex_NOT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126</v>
      </c>
    </row>
    <row r="9" spans="1:8" ht="15" x14ac:dyDescent="0.25">
      <c r="C9" s="4" t="s">
        <v>127</v>
      </c>
    </row>
    <row r="11" spans="1:8" x14ac:dyDescent="0.2">
      <c r="F11" s="78" t="s">
        <v>120</v>
      </c>
      <c r="G11" s="78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4</v>
      </c>
      <c r="G21" s="62" t="s">
        <v>119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136</v>
      </c>
    </row>
    <row r="26" spans="3:8" x14ac:dyDescent="0.2">
      <c r="E26" s="77" t="s">
        <v>137</v>
      </c>
      <c r="G26" s="62">
        <v>4</v>
      </c>
    </row>
    <row r="28" spans="3:8" ht="12.75" thickBot="1" x14ac:dyDescent="0.25">
      <c r="E28" s="77" t="s">
        <v>116</v>
      </c>
      <c r="G28" s="81">
        <f>SUMIF($F$12:$F$21,"&lt;&gt;"&amp;$G$26,$H$12:$H$21)</f>
        <v>4500</v>
      </c>
      <c r="H28" s="74" t="str">
        <f ca="1">_xlfn.FORMULATEXT(G28)</f>
        <v>=SUMIF($F$12:$F$21,"&lt;&gt;"&amp;$G$26,$H$12:$H$21)</v>
      </c>
    </row>
    <row r="29" spans="3:8" ht="12.75" thickTop="1" x14ac:dyDescent="0.2">
      <c r="G29" s="73"/>
      <c r="H29" s="74"/>
    </row>
  </sheetData>
  <conditionalFormatting sqref="F12:H21">
    <cfRule type="expression" dxfId="13" priority="1">
      <formula>$F12&lt;&gt;$G$26</formula>
    </cfRule>
  </conditionalFormatting>
  <dataValidations count="2">
    <dataValidation type="list" allowBlank="1" showInputMessage="1" showErrorMessage="1" sqref="F12:F21 G26" xr:uid="{63E03EF6-C586-477E-8AB6-5FF252351B12}">
      <formula1>LI_BusinessUnits</formula1>
    </dataValidation>
    <dataValidation type="list" allowBlank="1" showInputMessage="1" showErrorMessage="1" sqref="G12:G21" xr:uid="{7306818E-5B97-4FFA-A947-9C740B68E8CB}">
      <formula1>LI_ProductTypes</formula1>
    </dataValidation>
  </dataValidations>
  <hyperlinks>
    <hyperlink ref="A3" location="HL_Navigator" display="Navigator" xr:uid="{064A4EAC-DFE8-4768-A105-00855159E7AC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576B-B6EA-4CF8-BB34-209B1926D8A1}">
  <sheetPr codeName="Sheet13"/>
  <dimension ref="A1:H4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77" customWidth="1"/>
    <col min="6" max="7" width="11.7109375" style="77" customWidth="1"/>
    <col min="8" max="8" width="13.5703125" style="77" bestFit="1" customWidth="1"/>
    <col min="9" max="9" width="11.7109375" style="77" customWidth="1"/>
    <col min="10" max="16384" width="9.140625" style="77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SUMIFS_Ex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172</v>
      </c>
    </row>
    <row r="9" spans="1:8" ht="15" x14ac:dyDescent="0.25">
      <c r="C9" s="4" t="s">
        <v>127</v>
      </c>
    </row>
    <row r="11" spans="1:8" x14ac:dyDescent="0.2">
      <c r="F11" s="78" t="s">
        <v>120</v>
      </c>
      <c r="G11" s="78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3</v>
      </c>
      <c r="G21" s="62" t="s">
        <v>119</v>
      </c>
      <c r="H21" s="72">
        <v>1000</v>
      </c>
    </row>
    <row r="22" spans="3:8" x14ac:dyDescent="0.2">
      <c r="H22" s="66"/>
    </row>
    <row r="24" spans="3:8" ht="15" x14ac:dyDescent="0.25">
      <c r="C24" s="4" t="s">
        <v>154</v>
      </c>
    </row>
    <row r="26" spans="3:8" x14ac:dyDescent="0.2">
      <c r="E26" s="77" t="s">
        <v>120</v>
      </c>
      <c r="G26" s="62">
        <v>1</v>
      </c>
    </row>
    <row r="27" spans="3:8" x14ac:dyDescent="0.2">
      <c r="E27" s="77" t="s">
        <v>124</v>
      </c>
      <c r="G27" s="62" t="s">
        <v>118</v>
      </c>
    </row>
    <row r="29" spans="3:8" ht="12.75" thickBot="1" x14ac:dyDescent="0.25">
      <c r="E29" s="77" t="s">
        <v>116</v>
      </c>
      <c r="G29" s="81">
        <f>SUMIFS(H12:H21,F12:F21,G26,G12:G21,G27)</f>
        <v>700</v>
      </c>
      <c r="H29" s="86" t="str">
        <f ca="1">_xlfn.FORMULATEXT(G29)</f>
        <v>=SUMIFS(H12:H21,F12:F21,G26,G12:G21,G27)</v>
      </c>
    </row>
    <row r="30" spans="3:8" ht="12.75" thickTop="1" x14ac:dyDescent="0.2"/>
    <row r="32" spans="3:8" ht="15" x14ac:dyDescent="0.25">
      <c r="C32" s="4" t="s">
        <v>164</v>
      </c>
      <c r="D32" s="82"/>
      <c r="E32" s="82"/>
      <c r="F32" s="82"/>
      <c r="G32" s="82"/>
      <c r="H32" s="82"/>
    </row>
    <row r="33" spans="3:8" x14ac:dyDescent="0.2">
      <c r="C33" s="82"/>
      <c r="D33" s="82"/>
      <c r="E33" s="82"/>
      <c r="F33" s="82"/>
      <c r="G33" s="82"/>
      <c r="H33" s="82"/>
    </row>
    <row r="34" spans="3:8" x14ac:dyDescent="0.2">
      <c r="C34" s="82"/>
      <c r="D34" s="82"/>
      <c r="E34" s="82" t="s">
        <v>120</v>
      </c>
      <c r="F34" s="82"/>
      <c r="G34" s="62">
        <v>1</v>
      </c>
      <c r="H34" s="82"/>
    </row>
    <row r="35" spans="3:8" x14ac:dyDescent="0.2">
      <c r="C35" s="82"/>
      <c r="D35" s="82"/>
      <c r="E35" s="82" t="s">
        <v>124</v>
      </c>
      <c r="F35" s="82"/>
      <c r="G35" s="62" t="s">
        <v>118</v>
      </c>
      <c r="H35" s="82"/>
    </row>
    <row r="36" spans="3:8" x14ac:dyDescent="0.2">
      <c r="C36" s="82"/>
      <c r="D36" s="82"/>
      <c r="E36" s="82"/>
      <c r="F36" s="82"/>
      <c r="G36" s="82"/>
      <c r="H36" s="82"/>
    </row>
    <row r="37" spans="3:8" ht="12.75" thickBot="1" x14ac:dyDescent="0.25">
      <c r="C37" s="82"/>
      <c r="D37" s="82"/>
      <c r="E37" s="82" t="s">
        <v>165</v>
      </c>
      <c r="F37" s="82"/>
      <c r="G37" s="88">
        <f>COUNTIFS(F12:F21,G34,G12:G21,G35)</f>
        <v>2</v>
      </c>
      <c r="H37" s="86" t="str">
        <f ca="1">_xlfn.FORMULATEXT(G37)</f>
        <v>=COUNTIFS(F12:F21,G34,G12:G21,G35)</v>
      </c>
    </row>
    <row r="38" spans="3:8" ht="12.75" thickTop="1" x14ac:dyDescent="0.2"/>
    <row r="40" spans="3:8" ht="12.75" thickBot="1" x14ac:dyDescent="0.25">
      <c r="C40" s="77" t="s">
        <v>166</v>
      </c>
      <c r="G40" s="81">
        <f>IF(G37&lt;&gt;0,G29/G37,)</f>
        <v>350</v>
      </c>
      <c r="H40" s="86" t="str">
        <f ca="1">_xlfn.FORMULATEXT(G40)</f>
        <v>=IF(G37&lt;&gt;0,G29/G37,)</v>
      </c>
    </row>
    <row r="41" spans="3:8" ht="12.75" thickTop="1" x14ac:dyDescent="0.2"/>
  </sheetData>
  <conditionalFormatting sqref="F12:H21">
    <cfRule type="expression" dxfId="12" priority="1">
      <formula>AND($F12=$G$26,$G12=$G$27)</formula>
    </cfRule>
  </conditionalFormatting>
  <dataValidations count="2">
    <dataValidation type="list" allowBlank="1" showInputMessage="1" showErrorMessage="1" sqref="G27 G12:G21 G35" xr:uid="{A49E5398-26BB-4FDB-B82B-92D2238F2811}">
      <formula1>LI_ProductTypes</formula1>
    </dataValidation>
    <dataValidation type="list" allowBlank="1" showInputMessage="1" showErrorMessage="1" sqref="F12:F21 G26 G34" xr:uid="{7EB97EED-05A4-475E-8EB0-656D385B20D3}">
      <formula1>LI_BusinessUnits</formula1>
    </dataValidation>
  </dataValidations>
  <hyperlinks>
    <hyperlink ref="A3" location="HL_Navigator" display="Navigator" xr:uid="{D81F8962-58EF-422A-BEDB-3966F2C63511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0DA9-2372-42F8-B8AD-894BD2CA590E}">
  <sheetPr codeName="Sheet19"/>
  <dimension ref="A1:H3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7" width="11.7109375" style="85" customWidth="1"/>
    <col min="8" max="8" width="13.5703125" style="85" bestFit="1" customWidth="1"/>
    <col min="9" max="9" width="11.7109375" style="85" customWidth="1"/>
    <col min="10" max="16384" width="9.140625" style="85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AVERAGEIFS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173</v>
      </c>
    </row>
    <row r="9" spans="1:8" ht="15" x14ac:dyDescent="0.25">
      <c r="C9" s="4" t="s">
        <v>127</v>
      </c>
    </row>
    <row r="11" spans="1:8" x14ac:dyDescent="0.2">
      <c r="F11" s="84" t="s">
        <v>120</v>
      </c>
      <c r="G11" s="84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3</v>
      </c>
      <c r="G21" s="62" t="s">
        <v>119</v>
      </c>
      <c r="H21" s="72">
        <v>1000</v>
      </c>
    </row>
    <row r="22" spans="3:8" x14ac:dyDescent="0.2">
      <c r="H22" s="66"/>
    </row>
    <row r="24" spans="3:8" ht="15" x14ac:dyDescent="0.25">
      <c r="C24" s="4" t="s">
        <v>174</v>
      </c>
    </row>
    <row r="26" spans="3:8" x14ac:dyDescent="0.2">
      <c r="E26" s="85" t="s">
        <v>120</v>
      </c>
      <c r="G26" s="62">
        <v>1</v>
      </c>
    </row>
    <row r="27" spans="3:8" x14ac:dyDescent="0.2">
      <c r="E27" s="85" t="s">
        <v>124</v>
      </c>
      <c r="G27" s="62" t="s">
        <v>118</v>
      </c>
    </row>
    <row r="29" spans="3:8" ht="12.75" thickBot="1" x14ac:dyDescent="0.25">
      <c r="E29" s="85" t="s">
        <v>116</v>
      </c>
      <c r="G29" s="81">
        <f>AVERAGEIFS(H12:H21,F12:F21,G26,G12:G21,G27)</f>
        <v>350</v>
      </c>
      <c r="H29" s="86" t="str">
        <f ca="1">_xlfn.FORMULATEXT(G29)</f>
        <v>=AVERAGEIFS(H12:H21,F12:F21,G26,G12:G21,G27)</v>
      </c>
    </row>
    <row r="30" spans="3:8" ht="12.75" thickTop="1" x14ac:dyDescent="0.2"/>
  </sheetData>
  <conditionalFormatting sqref="F12:H21">
    <cfRule type="expression" dxfId="11" priority="1">
      <formula>AND($F12=$G$26,$G12=$G$27)</formula>
    </cfRule>
  </conditionalFormatting>
  <dataValidations count="2">
    <dataValidation type="list" allowBlank="1" showInputMessage="1" showErrorMessage="1" sqref="F12:F21 G26" xr:uid="{65D2A824-7A8D-4860-9F35-6EAD39DD09D2}">
      <formula1>LI_BusinessUnits</formula1>
    </dataValidation>
    <dataValidation type="list" allowBlank="1" showInputMessage="1" showErrorMessage="1" sqref="G27 G12:G21" xr:uid="{E4CCDD61-66B6-48EE-B852-396CD4DBD1B5}">
      <formula1>LI_ProductTypes</formula1>
    </dataValidation>
  </dataValidations>
  <hyperlinks>
    <hyperlink ref="A3" location="HL_Navigator" display="Navigator" xr:uid="{1EB8FF07-764C-4319-BFD7-FF70A177317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96CC-C2FA-4E65-8466-50EDA2F55A00}">
  <sheetPr codeName="Sheet16"/>
  <dimension ref="A1:I3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2" customWidth="1"/>
    <col min="6" max="7" width="11.7109375" style="82" customWidth="1"/>
    <col min="8" max="8" width="15.140625" style="82" customWidth="1"/>
    <col min="9" max="9" width="13.5703125" style="82" bestFit="1" customWidth="1"/>
    <col min="10" max="10" width="11.7109375" style="82" customWidth="1"/>
    <col min="11" max="16384" width="9.140625" style="82"/>
  </cols>
  <sheetData>
    <row r="1" spans="1:9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SUMIFS_Ex (2)</v>
      </c>
    </row>
    <row r="2" spans="1:9" ht="18" x14ac:dyDescent="0.25">
      <c r="A2" s="49" t="str">
        <f ca="1">Model_Name</f>
        <v>Chapter 2.1 - SP Multiple Criteria Examples with Comprehensive Example.xlsx</v>
      </c>
    </row>
    <row r="3" spans="1:9" x14ac:dyDescent="0.2">
      <c r="A3" s="109" t="s">
        <v>1</v>
      </c>
    </row>
    <row r="7" spans="1:9" ht="16.5" x14ac:dyDescent="0.25">
      <c r="B7" s="67" t="s">
        <v>163</v>
      </c>
    </row>
    <row r="9" spans="1:9" ht="15" x14ac:dyDescent="0.25">
      <c r="C9" s="4" t="s">
        <v>127</v>
      </c>
    </row>
    <row r="11" spans="1:9" x14ac:dyDescent="0.2">
      <c r="F11" s="83" t="s">
        <v>120</v>
      </c>
      <c r="G11" s="83" t="s">
        <v>124</v>
      </c>
      <c r="H11" s="83" t="s">
        <v>162</v>
      </c>
      <c r="I11" s="63" t="s">
        <v>125</v>
      </c>
    </row>
    <row r="12" spans="1:9" x14ac:dyDescent="0.2">
      <c r="F12" s="62">
        <v>1</v>
      </c>
      <c r="G12" s="62" t="s">
        <v>117</v>
      </c>
      <c r="H12" s="87" t="str">
        <f>F12&amp;G12</f>
        <v>1X</v>
      </c>
      <c r="I12" s="72">
        <v>100</v>
      </c>
    </row>
    <row r="13" spans="1:9" x14ac:dyDescent="0.2">
      <c r="F13" s="62">
        <v>1</v>
      </c>
      <c r="G13" s="62" t="s">
        <v>119</v>
      </c>
      <c r="H13" s="87" t="str">
        <f t="shared" ref="H13:H21" si="0">F13&amp;G13</f>
        <v>1Y</v>
      </c>
      <c r="I13" s="72">
        <v>200</v>
      </c>
    </row>
    <row r="14" spans="1:9" x14ac:dyDescent="0.2">
      <c r="F14" s="62">
        <v>1</v>
      </c>
      <c r="G14" s="62" t="s">
        <v>118</v>
      </c>
      <c r="H14" s="87" t="str">
        <f t="shared" si="0"/>
        <v>1Z</v>
      </c>
      <c r="I14" s="72">
        <v>300</v>
      </c>
    </row>
    <row r="15" spans="1:9" x14ac:dyDescent="0.2">
      <c r="F15" s="62">
        <v>1</v>
      </c>
      <c r="G15" s="62" t="s">
        <v>118</v>
      </c>
      <c r="H15" s="87" t="str">
        <f t="shared" si="0"/>
        <v>1Z</v>
      </c>
      <c r="I15" s="72">
        <v>400</v>
      </c>
    </row>
    <row r="16" spans="1:9" x14ac:dyDescent="0.2">
      <c r="F16" s="62">
        <v>2</v>
      </c>
      <c r="G16" s="62" t="s">
        <v>117</v>
      </c>
      <c r="H16" s="87" t="str">
        <f t="shared" si="0"/>
        <v>2X</v>
      </c>
      <c r="I16" s="72">
        <v>500</v>
      </c>
    </row>
    <row r="17" spans="3:9" x14ac:dyDescent="0.2">
      <c r="F17" s="62">
        <v>2</v>
      </c>
      <c r="G17" s="62" t="s">
        <v>117</v>
      </c>
      <c r="H17" s="87" t="str">
        <f t="shared" si="0"/>
        <v>2X</v>
      </c>
      <c r="I17" s="72">
        <v>600</v>
      </c>
    </row>
    <row r="18" spans="3:9" x14ac:dyDescent="0.2">
      <c r="F18" s="62">
        <v>2</v>
      </c>
      <c r="G18" s="62" t="s">
        <v>118</v>
      </c>
      <c r="H18" s="87" t="str">
        <f t="shared" si="0"/>
        <v>2Z</v>
      </c>
      <c r="I18" s="72">
        <v>700</v>
      </c>
    </row>
    <row r="19" spans="3:9" x14ac:dyDescent="0.2">
      <c r="F19" s="62">
        <v>3</v>
      </c>
      <c r="G19" s="62" t="s">
        <v>119</v>
      </c>
      <c r="H19" s="87" t="str">
        <f t="shared" si="0"/>
        <v>3Y</v>
      </c>
      <c r="I19" s="72">
        <v>800</v>
      </c>
    </row>
    <row r="20" spans="3:9" x14ac:dyDescent="0.2">
      <c r="F20" s="62">
        <v>3</v>
      </c>
      <c r="G20" s="62" t="s">
        <v>118</v>
      </c>
      <c r="H20" s="87" t="str">
        <f t="shared" si="0"/>
        <v>3Z</v>
      </c>
      <c r="I20" s="72">
        <v>900</v>
      </c>
    </row>
    <row r="21" spans="3:9" x14ac:dyDescent="0.2">
      <c r="F21" s="62">
        <v>3</v>
      </c>
      <c r="G21" s="62" t="s">
        <v>119</v>
      </c>
      <c r="H21" s="87" t="str">
        <f t="shared" si="0"/>
        <v>3Y</v>
      </c>
      <c r="I21" s="72">
        <v>1000</v>
      </c>
    </row>
    <row r="22" spans="3:9" x14ac:dyDescent="0.2">
      <c r="I22" s="66"/>
    </row>
    <row r="24" spans="3:9" ht="15" x14ac:dyDescent="0.25">
      <c r="C24" s="4" t="s">
        <v>154</v>
      </c>
    </row>
    <row r="26" spans="3:9" x14ac:dyDescent="0.2">
      <c r="E26" s="82" t="s">
        <v>120</v>
      </c>
      <c r="G26" s="62">
        <v>1</v>
      </c>
    </row>
    <row r="27" spans="3:9" x14ac:dyDescent="0.2">
      <c r="E27" s="82" t="s">
        <v>124</v>
      </c>
      <c r="G27" s="62" t="s">
        <v>118</v>
      </c>
    </row>
    <row r="29" spans="3:9" ht="12.75" thickBot="1" x14ac:dyDescent="0.25">
      <c r="E29" s="82" t="s">
        <v>116</v>
      </c>
      <c r="G29" s="81">
        <f>SUMIF(H12:H21,G26&amp;G27,I12:I21)</f>
        <v>700</v>
      </c>
      <c r="H29" s="86" t="str">
        <f ca="1">_xlfn.FORMULATEXT(G29)</f>
        <v>=SUMIF(H12:H21,G26&amp;G27,I12:I21)</v>
      </c>
    </row>
    <row r="30" spans="3:9" ht="12.75" thickTop="1" x14ac:dyDescent="0.2"/>
  </sheetData>
  <conditionalFormatting sqref="F12:I21">
    <cfRule type="expression" dxfId="10" priority="1">
      <formula>AND($F12=$G$26,$G12=$G$27)</formula>
    </cfRule>
  </conditionalFormatting>
  <dataValidations count="2">
    <dataValidation type="list" allowBlank="1" showInputMessage="1" showErrorMessage="1" sqref="F12:F21 G26" xr:uid="{EB104A17-61DA-478D-916F-4E9739656729}">
      <formula1>LI_BusinessUnits</formula1>
    </dataValidation>
    <dataValidation type="list" allowBlank="1" showInputMessage="1" showErrorMessage="1" sqref="G27 G12:G21" xr:uid="{7D1DA9E2-F215-407B-B6EF-5706C22CD709}">
      <formula1>LI_ProductTypes</formula1>
    </dataValidation>
  </dataValidations>
  <hyperlinks>
    <hyperlink ref="A3" location="HL_Navigator" display="Navigator" xr:uid="{AC9FDD7A-33A8-4311-87CE-FB79E03BDAD9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9F92-E0C7-44C3-A774-AF6AD2410525}">
  <sheetPr codeName="Sheet17"/>
  <dimension ref="A1:I3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7" width="11.7109375" style="85" customWidth="1"/>
    <col min="8" max="8" width="15.140625" style="85" customWidth="1"/>
    <col min="9" max="9" width="13.5703125" style="85" bestFit="1" customWidth="1"/>
    <col min="10" max="10" width="11.7109375" style="85" customWidth="1"/>
    <col min="11" max="16384" width="9.140625" style="85"/>
  </cols>
  <sheetData>
    <row r="1" spans="1:9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SUMIFS_Ex (3)</v>
      </c>
    </row>
    <row r="2" spans="1:9" ht="18" x14ac:dyDescent="0.25">
      <c r="A2" s="49" t="str">
        <f ca="1">Model_Name</f>
        <v>Chapter 2.1 - SP Multiple Criteria Examples with Comprehensive Example.xlsx</v>
      </c>
    </row>
    <row r="3" spans="1:9" x14ac:dyDescent="0.2">
      <c r="A3" s="109" t="s">
        <v>1</v>
      </c>
    </row>
    <row r="7" spans="1:9" ht="16.5" x14ac:dyDescent="0.25">
      <c r="B7" s="67" t="s">
        <v>169</v>
      </c>
    </row>
    <row r="9" spans="1:9" ht="15" x14ac:dyDescent="0.25">
      <c r="C9" s="4" t="s">
        <v>127</v>
      </c>
    </row>
    <row r="11" spans="1:9" x14ac:dyDescent="0.2">
      <c r="F11" s="84" t="s">
        <v>120</v>
      </c>
      <c r="G11" s="84" t="s">
        <v>124</v>
      </c>
      <c r="H11" s="84" t="s">
        <v>162</v>
      </c>
      <c r="I11" s="63" t="s">
        <v>125</v>
      </c>
    </row>
    <row r="12" spans="1:9" x14ac:dyDescent="0.2">
      <c r="F12" s="62">
        <v>1</v>
      </c>
      <c r="G12" s="62" t="s">
        <v>117</v>
      </c>
      <c r="H12" s="87" t="str">
        <f>F12&amp;G12</f>
        <v>1X</v>
      </c>
      <c r="I12" s="72">
        <v>100</v>
      </c>
    </row>
    <row r="13" spans="1:9" x14ac:dyDescent="0.2">
      <c r="F13" s="62">
        <v>1</v>
      </c>
      <c r="G13" s="62" t="s">
        <v>119</v>
      </c>
      <c r="H13" s="87" t="str">
        <f t="shared" ref="H13:H21" si="0">F13&amp;G13</f>
        <v>1Y</v>
      </c>
      <c r="I13" s="72">
        <v>200</v>
      </c>
    </row>
    <row r="14" spans="1:9" x14ac:dyDescent="0.2">
      <c r="F14" s="62">
        <v>1</v>
      </c>
      <c r="G14" s="62" t="s">
        <v>118</v>
      </c>
      <c r="H14" s="87" t="str">
        <f t="shared" si="0"/>
        <v>1Z</v>
      </c>
      <c r="I14" s="72">
        <v>300</v>
      </c>
    </row>
    <row r="15" spans="1:9" x14ac:dyDescent="0.2">
      <c r="F15" s="62">
        <v>1</v>
      </c>
      <c r="G15" s="62" t="s">
        <v>118</v>
      </c>
      <c r="H15" s="87" t="str">
        <f t="shared" si="0"/>
        <v>1Z</v>
      </c>
      <c r="I15" s="72">
        <v>400</v>
      </c>
    </row>
    <row r="16" spans="1:9" x14ac:dyDescent="0.2">
      <c r="F16" s="62">
        <v>2</v>
      </c>
      <c r="G16" s="62" t="s">
        <v>117</v>
      </c>
      <c r="H16" s="87" t="str">
        <f t="shared" si="0"/>
        <v>2X</v>
      </c>
      <c r="I16" s="72">
        <v>500</v>
      </c>
    </row>
    <row r="17" spans="3:9" x14ac:dyDescent="0.2">
      <c r="F17" s="62">
        <v>2</v>
      </c>
      <c r="G17" s="62" t="s">
        <v>117</v>
      </c>
      <c r="H17" s="87" t="str">
        <f t="shared" si="0"/>
        <v>2X</v>
      </c>
      <c r="I17" s="72">
        <v>600</v>
      </c>
    </row>
    <row r="18" spans="3:9" x14ac:dyDescent="0.2">
      <c r="F18" s="62">
        <v>2</v>
      </c>
      <c r="G18" s="62" t="s">
        <v>118</v>
      </c>
      <c r="H18" s="87" t="str">
        <f t="shared" si="0"/>
        <v>2Z</v>
      </c>
      <c r="I18" s="72">
        <v>700</v>
      </c>
    </row>
    <row r="19" spans="3:9" x14ac:dyDescent="0.2">
      <c r="F19" s="62">
        <v>3</v>
      </c>
      <c r="G19" s="62" t="s">
        <v>119</v>
      </c>
      <c r="H19" s="87" t="str">
        <f t="shared" si="0"/>
        <v>3Y</v>
      </c>
      <c r="I19" s="72">
        <v>800</v>
      </c>
    </row>
    <row r="20" spans="3:9" x14ac:dyDescent="0.2">
      <c r="F20" s="62">
        <v>3</v>
      </c>
      <c r="G20" s="62" t="s">
        <v>118</v>
      </c>
      <c r="H20" s="87" t="str">
        <f t="shared" si="0"/>
        <v>3Z</v>
      </c>
      <c r="I20" s="72">
        <v>900</v>
      </c>
    </row>
    <row r="21" spans="3:9" x14ac:dyDescent="0.2">
      <c r="F21" s="62">
        <v>3</v>
      </c>
      <c r="G21" s="62" t="s">
        <v>119</v>
      </c>
      <c r="H21" s="87" t="str">
        <f t="shared" si="0"/>
        <v>3Y</v>
      </c>
      <c r="I21" s="72">
        <v>1000</v>
      </c>
    </row>
    <row r="22" spans="3:9" x14ac:dyDescent="0.2">
      <c r="I22" s="66"/>
    </row>
    <row r="24" spans="3:9" ht="15" x14ac:dyDescent="0.25">
      <c r="C24" s="4" t="s">
        <v>154</v>
      </c>
    </row>
    <row r="26" spans="3:9" x14ac:dyDescent="0.2">
      <c r="E26" s="85" t="s">
        <v>120</v>
      </c>
      <c r="G26" s="62">
        <v>1</v>
      </c>
    </row>
    <row r="27" spans="3:9" x14ac:dyDescent="0.2">
      <c r="E27" s="85" t="s">
        <v>124</v>
      </c>
      <c r="G27" s="62" t="s">
        <v>118</v>
      </c>
    </row>
    <row r="29" spans="3:9" ht="12.75" thickBot="1" x14ac:dyDescent="0.25">
      <c r="E29" s="85" t="s">
        <v>116</v>
      </c>
      <c r="G29" s="81">
        <f>SUMIFS(I12:I21,F12:F21,G26,G12:G21,G27)</f>
        <v>700</v>
      </c>
      <c r="H29" s="86" t="str">
        <f ca="1">_xlfn.FORMULATEXT(G29)</f>
        <v>=SUMIFS(I12:I21,F12:F21,G26,G12:G21,G27)</v>
      </c>
    </row>
    <row r="30" spans="3:9" ht="12.75" thickTop="1" x14ac:dyDescent="0.2"/>
  </sheetData>
  <conditionalFormatting sqref="F12:I21">
    <cfRule type="expression" dxfId="9" priority="1">
      <formula>AND($F12=$G$26,$G12=$G$27)</formula>
    </cfRule>
  </conditionalFormatting>
  <dataValidations count="2">
    <dataValidation type="list" allowBlank="1" showInputMessage="1" showErrorMessage="1" sqref="G27 G12:G21" xr:uid="{614ECE28-C481-4D11-A677-0B63C871A9CF}">
      <formula1>LI_ProductTypes</formula1>
    </dataValidation>
    <dataValidation type="list" allowBlank="1" showInputMessage="1" showErrorMessage="1" sqref="F12:F21 G26" xr:uid="{56095AD9-B504-49F3-B01F-38297D0927EF}">
      <formula1>LI_BusinessUnits</formula1>
    </dataValidation>
  </dataValidations>
  <hyperlinks>
    <hyperlink ref="A3" location="HL_Navigator" display="Navigator" xr:uid="{BCCC3F2B-785D-4711-A8EE-5FBF04080406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0CA3-B3D9-4208-804B-155B04EE0ADE}">
  <sheetPr codeName="Sheet18"/>
  <dimension ref="A1:I3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7" width="11.7109375" style="85" customWidth="1"/>
    <col min="8" max="8" width="15.140625" style="85" customWidth="1"/>
    <col min="9" max="9" width="13.5703125" style="85" bestFit="1" customWidth="1"/>
    <col min="10" max="10" width="11.7109375" style="85" customWidth="1"/>
    <col min="11" max="16384" width="9.140625" style="85"/>
  </cols>
  <sheetData>
    <row r="1" spans="1:9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SUMIFS_Ex (4)</v>
      </c>
    </row>
    <row r="2" spans="1:9" ht="18" x14ac:dyDescent="0.25">
      <c r="A2" s="49" t="str">
        <f ca="1">Model_Name</f>
        <v>Chapter 2.1 - SP Multiple Criteria Examples with Comprehensive Example.xlsx</v>
      </c>
    </row>
    <row r="3" spans="1:9" x14ac:dyDescent="0.2">
      <c r="A3" s="109" t="s">
        <v>1</v>
      </c>
    </row>
    <row r="7" spans="1:9" ht="16.5" x14ac:dyDescent="0.25">
      <c r="B7" s="67" t="s">
        <v>171</v>
      </c>
    </row>
    <row r="9" spans="1:9" ht="15" x14ac:dyDescent="0.25">
      <c r="C9" s="4" t="s">
        <v>127</v>
      </c>
    </row>
    <row r="11" spans="1:9" x14ac:dyDescent="0.2">
      <c r="F11" s="84" t="s">
        <v>120</v>
      </c>
      <c r="G11" s="84" t="s">
        <v>124</v>
      </c>
      <c r="H11" s="84" t="s">
        <v>162</v>
      </c>
      <c r="I11" s="63" t="s">
        <v>125</v>
      </c>
    </row>
    <row r="12" spans="1:9" x14ac:dyDescent="0.2">
      <c r="F12" s="62">
        <v>1</v>
      </c>
      <c r="G12" s="62" t="s">
        <v>117</v>
      </c>
      <c r="H12" s="87" t="str">
        <f>F12&amp;G12</f>
        <v>1X</v>
      </c>
      <c r="I12" s="72">
        <v>100</v>
      </c>
    </row>
    <row r="13" spans="1:9" x14ac:dyDescent="0.2">
      <c r="F13" s="62">
        <v>1</v>
      </c>
      <c r="G13" s="62" t="s">
        <v>119</v>
      </c>
      <c r="H13" s="87" t="str">
        <f t="shared" ref="H13:H21" si="0">F13&amp;G13</f>
        <v>1Y</v>
      </c>
      <c r="I13" s="72">
        <v>200</v>
      </c>
    </row>
    <row r="14" spans="1:9" x14ac:dyDescent="0.2">
      <c r="F14" s="92">
        <v>1</v>
      </c>
      <c r="G14" s="92" t="s">
        <v>118</v>
      </c>
      <c r="H14" s="92" t="str">
        <f t="shared" si="0"/>
        <v>1Z</v>
      </c>
      <c r="I14" s="93">
        <v>300</v>
      </c>
    </row>
    <row r="15" spans="1:9" x14ac:dyDescent="0.2">
      <c r="F15" s="89">
        <v>1</v>
      </c>
      <c r="G15" s="90" t="s">
        <v>118</v>
      </c>
      <c r="H15" s="90" t="str">
        <f t="shared" si="0"/>
        <v>1Z</v>
      </c>
      <c r="I15" s="91" t="s">
        <v>170</v>
      </c>
    </row>
    <row r="16" spans="1:9" x14ac:dyDescent="0.2">
      <c r="F16" s="62">
        <v>2</v>
      </c>
      <c r="G16" s="62" t="s">
        <v>117</v>
      </c>
      <c r="H16" s="87" t="str">
        <f t="shared" si="0"/>
        <v>2X</v>
      </c>
      <c r="I16" s="72">
        <v>500</v>
      </c>
    </row>
    <row r="17" spans="3:9" x14ac:dyDescent="0.2">
      <c r="F17" s="62">
        <v>2</v>
      </c>
      <c r="G17" s="62" t="s">
        <v>117</v>
      </c>
      <c r="H17" s="87" t="str">
        <f t="shared" si="0"/>
        <v>2X</v>
      </c>
      <c r="I17" s="72">
        <v>600</v>
      </c>
    </row>
    <row r="18" spans="3:9" x14ac:dyDescent="0.2">
      <c r="F18" s="62">
        <v>2</v>
      </c>
      <c r="G18" s="62" t="s">
        <v>118</v>
      </c>
      <c r="H18" s="87" t="str">
        <f t="shared" si="0"/>
        <v>2Z</v>
      </c>
      <c r="I18" s="72">
        <v>700</v>
      </c>
    </row>
    <row r="19" spans="3:9" x14ac:dyDescent="0.2">
      <c r="F19" s="62">
        <v>3</v>
      </c>
      <c r="G19" s="62" t="s">
        <v>119</v>
      </c>
      <c r="H19" s="87" t="str">
        <f t="shared" si="0"/>
        <v>3Y</v>
      </c>
      <c r="I19" s="72">
        <v>800</v>
      </c>
    </row>
    <row r="20" spans="3:9" x14ac:dyDescent="0.2">
      <c r="F20" s="62">
        <v>3</v>
      </c>
      <c r="G20" s="62" t="s">
        <v>118</v>
      </c>
      <c r="H20" s="87" t="str">
        <f t="shared" si="0"/>
        <v>3Z</v>
      </c>
      <c r="I20" s="72">
        <v>900</v>
      </c>
    </row>
    <row r="21" spans="3:9" x14ac:dyDescent="0.2">
      <c r="F21" s="62">
        <v>3</v>
      </c>
      <c r="G21" s="62" t="s">
        <v>119</v>
      </c>
      <c r="H21" s="87" t="str">
        <f t="shared" si="0"/>
        <v>3Y</v>
      </c>
      <c r="I21" s="72">
        <v>1000</v>
      </c>
    </row>
    <row r="22" spans="3:9" x14ac:dyDescent="0.2">
      <c r="I22" s="66"/>
    </row>
    <row r="24" spans="3:9" ht="15" x14ac:dyDescent="0.25">
      <c r="C24" s="4" t="s">
        <v>154</v>
      </c>
    </row>
    <row r="26" spans="3:9" x14ac:dyDescent="0.2">
      <c r="E26" s="85" t="s">
        <v>120</v>
      </c>
      <c r="G26" s="62">
        <v>1</v>
      </c>
    </row>
    <row r="27" spans="3:9" x14ac:dyDescent="0.2">
      <c r="E27" s="85" t="s">
        <v>124</v>
      </c>
      <c r="G27" s="62" t="s">
        <v>118</v>
      </c>
    </row>
    <row r="29" spans="3:9" ht="12.75" thickBot="1" x14ac:dyDescent="0.25">
      <c r="E29" s="85" t="s">
        <v>116</v>
      </c>
      <c r="G29" s="81">
        <f>SUMIFS(I12:I21,F12:F21,G26,G12:G21,G27)</f>
        <v>300</v>
      </c>
      <c r="H29" s="86" t="str">
        <f ca="1">_xlfn.FORMULATEXT(G29)</f>
        <v>=SUMIFS(I12:I21,F12:F21,G26,G12:G21,G27)</v>
      </c>
    </row>
    <row r="30" spans="3:9" ht="12.75" thickTop="1" x14ac:dyDescent="0.2"/>
  </sheetData>
  <dataValidations count="2">
    <dataValidation type="list" allowBlank="1" showInputMessage="1" showErrorMessage="1" sqref="G26 F12:F14 F16:F21" xr:uid="{F9B50857-056B-4177-AD85-362382B6E5F6}">
      <formula1>LI_BusinessUnits</formula1>
    </dataValidation>
    <dataValidation type="list" allowBlank="1" showInputMessage="1" showErrorMessage="1" sqref="G27 G12:G21" xr:uid="{6A6FD61F-C9F1-43AC-BE61-9C729315E20D}">
      <formula1>LI_ProductTypes</formula1>
    </dataValidation>
  </dataValidations>
  <hyperlinks>
    <hyperlink ref="A3" location="HL_Navigator" display="Navigator" xr:uid="{1A02F297-397A-44F2-AAD3-A0894B354AC3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472E-BC6D-4730-88F2-2B44D68275AB}">
  <sheetPr codeName="Sheet22"/>
  <dimension ref="A1:I3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7" width="11.7109375" style="85" customWidth="1"/>
    <col min="8" max="8" width="15.140625" style="85" customWidth="1"/>
    <col min="9" max="9" width="13.5703125" style="85" bestFit="1" customWidth="1"/>
    <col min="10" max="10" width="11.7109375" style="85" customWidth="1"/>
    <col min="11" max="16384" width="9.140625" style="85"/>
  </cols>
  <sheetData>
    <row r="1" spans="1:9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SUMIFS_Ex (5)</v>
      </c>
    </row>
    <row r="2" spans="1:9" ht="18" x14ac:dyDescent="0.25">
      <c r="A2" s="49" t="str">
        <f ca="1">Model_Name</f>
        <v>Chapter 2.1 - SP Multiple Criteria Examples with Comprehensive Example.xlsx</v>
      </c>
    </row>
    <row r="3" spans="1:9" x14ac:dyDescent="0.2">
      <c r="A3" s="109" t="s">
        <v>1</v>
      </c>
    </row>
    <row r="7" spans="1:9" ht="16.5" x14ac:dyDescent="0.25">
      <c r="B7" s="67" t="s">
        <v>208</v>
      </c>
    </row>
    <row r="9" spans="1:9" ht="15" x14ac:dyDescent="0.25">
      <c r="C9" s="4" t="s">
        <v>127</v>
      </c>
    </row>
    <row r="11" spans="1:9" x14ac:dyDescent="0.2">
      <c r="F11" s="84" t="s">
        <v>120</v>
      </c>
      <c r="G11" s="84" t="s">
        <v>124</v>
      </c>
      <c r="H11" s="84" t="s">
        <v>162</v>
      </c>
      <c r="I11" s="63" t="s">
        <v>125</v>
      </c>
    </row>
    <row r="12" spans="1:9" x14ac:dyDescent="0.2">
      <c r="F12" s="62">
        <v>1</v>
      </c>
      <c r="G12" s="62" t="s">
        <v>117</v>
      </c>
      <c r="H12" s="87" t="str">
        <f>F12&amp;G12</f>
        <v>1X</v>
      </c>
      <c r="I12" s="72">
        <v>100</v>
      </c>
    </row>
    <row r="13" spans="1:9" x14ac:dyDescent="0.2">
      <c r="F13" s="62">
        <v>1</v>
      </c>
      <c r="G13" s="62" t="s">
        <v>119</v>
      </c>
      <c r="H13" s="87" t="str">
        <f t="shared" ref="H13:H21" si="0">F13&amp;G13</f>
        <v>1Y</v>
      </c>
      <c r="I13" s="72">
        <v>200</v>
      </c>
    </row>
    <row r="14" spans="1:9" x14ac:dyDescent="0.2">
      <c r="F14" s="62">
        <v>1</v>
      </c>
      <c r="G14" s="62" t="s">
        <v>118</v>
      </c>
      <c r="H14" s="87" t="str">
        <f t="shared" si="0"/>
        <v>1Z</v>
      </c>
      <c r="I14" s="72">
        <v>300</v>
      </c>
    </row>
    <row r="15" spans="1:9" x14ac:dyDescent="0.2">
      <c r="F15" s="62">
        <v>1</v>
      </c>
      <c r="G15" s="62" t="s">
        <v>118</v>
      </c>
      <c r="H15" s="87" t="str">
        <f t="shared" si="0"/>
        <v>1Z</v>
      </c>
      <c r="I15" s="72">
        <v>400</v>
      </c>
    </row>
    <row r="16" spans="1:9" x14ac:dyDescent="0.2">
      <c r="F16" s="62">
        <v>2</v>
      </c>
      <c r="G16" s="62" t="s">
        <v>117</v>
      </c>
      <c r="H16" s="87" t="str">
        <f t="shared" si="0"/>
        <v>2X</v>
      </c>
      <c r="I16" s="72">
        <v>500</v>
      </c>
    </row>
    <row r="17" spans="3:9" x14ac:dyDescent="0.2">
      <c r="F17" s="62">
        <v>2</v>
      </c>
      <c r="G17" s="62" t="s">
        <v>117</v>
      </c>
      <c r="H17" s="87" t="str">
        <f t="shared" si="0"/>
        <v>2X</v>
      </c>
      <c r="I17" s="72">
        <v>600</v>
      </c>
    </row>
    <row r="18" spans="3:9" x14ac:dyDescent="0.2">
      <c r="F18" s="62">
        <v>2</v>
      </c>
      <c r="G18" s="62" t="s">
        <v>118</v>
      </c>
      <c r="H18" s="87" t="str">
        <f t="shared" si="0"/>
        <v>2Z</v>
      </c>
      <c r="I18" s="72">
        <v>700</v>
      </c>
    </row>
    <row r="19" spans="3:9" x14ac:dyDescent="0.2">
      <c r="F19" s="62">
        <v>3</v>
      </c>
      <c r="G19" s="62" t="s">
        <v>119</v>
      </c>
      <c r="H19" s="87" t="str">
        <f t="shared" si="0"/>
        <v>3Y</v>
      </c>
      <c r="I19" s="72" t="s">
        <v>143</v>
      </c>
    </row>
    <row r="20" spans="3:9" x14ac:dyDescent="0.2">
      <c r="F20" s="62">
        <v>3</v>
      </c>
      <c r="G20" s="62" t="s">
        <v>118</v>
      </c>
      <c r="H20" s="87" t="str">
        <f t="shared" si="0"/>
        <v>3Z</v>
      </c>
      <c r="I20" s="72">
        <v>900</v>
      </c>
    </row>
    <row r="21" spans="3:9" x14ac:dyDescent="0.2">
      <c r="F21" s="62">
        <v>3</v>
      </c>
      <c r="G21" s="62" t="s">
        <v>119</v>
      </c>
      <c r="H21" s="87" t="str">
        <f t="shared" si="0"/>
        <v>3Y</v>
      </c>
      <c r="I21" s="72">
        <v>1000</v>
      </c>
    </row>
    <row r="22" spans="3:9" x14ac:dyDescent="0.2">
      <c r="I22" s="66"/>
    </row>
    <row r="24" spans="3:9" ht="15" x14ac:dyDescent="0.25">
      <c r="C24" s="4" t="s">
        <v>154</v>
      </c>
    </row>
    <row r="26" spans="3:9" x14ac:dyDescent="0.2">
      <c r="E26" s="85" t="s">
        <v>120</v>
      </c>
      <c r="G26" s="62">
        <v>1</v>
      </c>
    </row>
    <row r="27" spans="3:9" x14ac:dyDescent="0.2">
      <c r="E27" s="85" t="s">
        <v>124</v>
      </c>
      <c r="G27" s="62" t="s">
        <v>118</v>
      </c>
    </row>
    <row r="29" spans="3:9" ht="12.75" thickBot="1" x14ac:dyDescent="0.25">
      <c r="E29" s="85" t="s">
        <v>116</v>
      </c>
      <c r="G29" s="81">
        <f>SUMIFS(I12:I21,F12:F21,G26,G12:G21,G27)</f>
        <v>700</v>
      </c>
      <c r="H29" s="86" t="str">
        <f ca="1">_xlfn.FORMULATEXT(G29)</f>
        <v>=SUMIFS(I12:I21,F12:F21,G26,G12:G21,G27)</v>
      </c>
    </row>
    <row r="30" spans="3:9" ht="12.75" thickTop="1" x14ac:dyDescent="0.2"/>
  </sheetData>
  <conditionalFormatting sqref="F12:I21">
    <cfRule type="expression" dxfId="8" priority="1">
      <formula>AND($F12=$G$26,$G12=$G$27)</formula>
    </cfRule>
  </conditionalFormatting>
  <dataValidations count="2">
    <dataValidation type="list" allowBlank="1" showInputMessage="1" showErrorMessage="1" sqref="F12:F21 G26" xr:uid="{6330531E-B701-4C9F-925D-F04AC6E0C39C}">
      <formula1>LI_BusinessUnits</formula1>
    </dataValidation>
    <dataValidation type="list" allowBlank="1" showInputMessage="1" showErrorMessage="1" sqref="G27 G12:G21" xr:uid="{7F5CCA20-4878-463A-B945-BA2E89BC4A13}">
      <formula1>LI_ProductTypes</formula1>
    </dataValidation>
  </dataValidations>
  <hyperlinks>
    <hyperlink ref="A3" location="HL_Navigator" display="Navigator" xr:uid="{DFDB5E0E-854D-477B-B572-D9A0E9A0B4BA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D672-174E-4524-B569-2383F431FBFA}">
  <sheetPr codeName="Sheet23"/>
  <dimension ref="A1:I3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7" width="11.7109375" style="85" customWidth="1"/>
    <col min="8" max="8" width="15.140625" style="85" customWidth="1"/>
    <col min="9" max="9" width="13.5703125" style="85" bestFit="1" customWidth="1"/>
    <col min="10" max="10" width="11.7109375" style="85" customWidth="1"/>
    <col min="11" max="16384" width="9.140625" style="85"/>
  </cols>
  <sheetData>
    <row r="1" spans="1:9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SUMIFS_Ex (6)</v>
      </c>
    </row>
    <row r="2" spans="1:9" ht="18" x14ac:dyDescent="0.25">
      <c r="A2" s="49" t="str">
        <f ca="1">Model_Name</f>
        <v>Chapter 2.1 - SP Multiple Criteria Examples with Comprehensive Example.xlsx</v>
      </c>
    </row>
    <row r="3" spans="1:9" x14ac:dyDescent="0.2">
      <c r="A3" s="109" t="s">
        <v>1</v>
      </c>
    </row>
    <row r="7" spans="1:9" ht="16.5" x14ac:dyDescent="0.25">
      <c r="B7" s="67" t="s">
        <v>209</v>
      </c>
    </row>
    <row r="9" spans="1:9" ht="15" x14ac:dyDescent="0.25">
      <c r="C9" s="4" t="s">
        <v>127</v>
      </c>
    </row>
    <row r="11" spans="1:9" x14ac:dyDescent="0.2">
      <c r="F11" s="84" t="s">
        <v>120</v>
      </c>
      <c r="G11" s="84" t="s">
        <v>124</v>
      </c>
      <c r="H11" s="84" t="s">
        <v>162</v>
      </c>
      <c r="I11" s="63" t="s">
        <v>125</v>
      </c>
    </row>
    <row r="12" spans="1:9" x14ac:dyDescent="0.2">
      <c r="F12" s="62">
        <v>1</v>
      </c>
      <c r="G12" s="62" t="s">
        <v>117</v>
      </c>
      <c r="H12" s="87" t="str">
        <f>F12&amp;G12</f>
        <v>1X</v>
      </c>
      <c r="I12" s="72">
        <v>100</v>
      </c>
    </row>
    <row r="13" spans="1:9" x14ac:dyDescent="0.2">
      <c r="F13" s="62">
        <v>1</v>
      </c>
      <c r="G13" s="62" t="s">
        <v>119</v>
      </c>
      <c r="H13" s="87" t="str">
        <f t="shared" ref="H13:H21" si="0">F13&amp;G13</f>
        <v>1Y</v>
      </c>
      <c r="I13" s="72">
        <v>200</v>
      </c>
    </row>
    <row r="14" spans="1:9" x14ac:dyDescent="0.2">
      <c r="F14" s="62">
        <v>1</v>
      </c>
      <c r="G14" s="62" t="s">
        <v>118</v>
      </c>
      <c r="H14" s="87" t="str">
        <f t="shared" si="0"/>
        <v>1Z</v>
      </c>
      <c r="I14" s="72">
        <v>300</v>
      </c>
    </row>
    <row r="15" spans="1:9" x14ac:dyDescent="0.2">
      <c r="F15" s="62">
        <v>1</v>
      </c>
      <c r="G15" s="62" t="s">
        <v>118</v>
      </c>
      <c r="H15" s="87" t="str">
        <f t="shared" si="0"/>
        <v>1Z</v>
      </c>
      <c r="I15" s="72" t="e">
        <f>3/0</f>
        <v>#DIV/0!</v>
      </c>
    </row>
    <row r="16" spans="1:9" x14ac:dyDescent="0.2">
      <c r="F16" s="62">
        <v>2</v>
      </c>
      <c r="G16" s="62" t="s">
        <v>117</v>
      </c>
      <c r="H16" s="87" t="str">
        <f t="shared" si="0"/>
        <v>2X</v>
      </c>
      <c r="I16" s="72">
        <v>500</v>
      </c>
    </row>
    <row r="17" spans="3:9" x14ac:dyDescent="0.2">
      <c r="F17" s="62">
        <v>2</v>
      </c>
      <c r="G17" s="62" t="s">
        <v>117</v>
      </c>
      <c r="H17" s="87" t="str">
        <f t="shared" si="0"/>
        <v>2X</v>
      </c>
      <c r="I17" s="72">
        <v>600</v>
      </c>
    </row>
    <row r="18" spans="3:9" x14ac:dyDescent="0.2">
      <c r="F18" s="62">
        <v>2</v>
      </c>
      <c r="G18" s="62" t="s">
        <v>118</v>
      </c>
      <c r="H18" s="87" t="str">
        <f t="shared" si="0"/>
        <v>2Z</v>
      </c>
      <c r="I18" s="72">
        <v>700</v>
      </c>
    </row>
    <row r="19" spans="3:9" x14ac:dyDescent="0.2">
      <c r="F19" s="62">
        <v>3</v>
      </c>
      <c r="G19" s="62" t="s">
        <v>119</v>
      </c>
      <c r="H19" s="87" t="str">
        <f t="shared" si="0"/>
        <v>3Y</v>
      </c>
      <c r="I19" s="72">
        <v>800</v>
      </c>
    </row>
    <row r="20" spans="3:9" x14ac:dyDescent="0.2">
      <c r="F20" s="62">
        <v>3</v>
      </c>
      <c r="G20" s="62" t="s">
        <v>118</v>
      </c>
      <c r="H20" s="87" t="str">
        <f t="shared" si="0"/>
        <v>3Z</v>
      </c>
      <c r="I20" s="72">
        <v>900</v>
      </c>
    </row>
    <row r="21" spans="3:9" x14ac:dyDescent="0.2">
      <c r="F21" s="62">
        <v>3</v>
      </c>
      <c r="G21" s="62" t="s">
        <v>119</v>
      </c>
      <c r="H21" s="87" t="str">
        <f t="shared" si="0"/>
        <v>3Y</v>
      </c>
      <c r="I21" s="72">
        <v>1000</v>
      </c>
    </row>
    <row r="22" spans="3:9" x14ac:dyDescent="0.2">
      <c r="I22" s="66"/>
    </row>
    <row r="24" spans="3:9" ht="15" x14ac:dyDescent="0.25">
      <c r="C24" s="4" t="s">
        <v>154</v>
      </c>
    </row>
    <row r="26" spans="3:9" x14ac:dyDescent="0.2">
      <c r="E26" s="85" t="s">
        <v>120</v>
      </c>
      <c r="G26" s="62">
        <v>1</v>
      </c>
    </row>
    <row r="27" spans="3:9" x14ac:dyDescent="0.2">
      <c r="E27" s="85" t="s">
        <v>124</v>
      </c>
      <c r="G27" s="62" t="s">
        <v>118</v>
      </c>
    </row>
    <row r="29" spans="3:9" ht="12.75" thickBot="1" x14ac:dyDescent="0.25">
      <c r="E29" s="85" t="s">
        <v>116</v>
      </c>
      <c r="G29" s="81">
        <f>SUMIFS(I12:I21,F12:F21,G26,G12:G21,G27,I12:I21,"&lt;&gt;#DIV/0!")</f>
        <v>300</v>
      </c>
      <c r="H29" s="86" t="str">
        <f ca="1">_xlfn.FORMULATEXT(G29)</f>
        <v>=SUMIFS(I12:I21,F12:F21,G26,G12:G21,G27,I12:I21,"&lt;&gt;#DIV/0!")</v>
      </c>
    </row>
    <row r="30" spans="3:9" ht="12.75" thickTop="1" x14ac:dyDescent="0.2"/>
  </sheetData>
  <conditionalFormatting sqref="F12:I21">
    <cfRule type="expression" dxfId="7" priority="1">
      <formula>AND($F12=$G$26,$G12=$G$27)</formula>
    </cfRule>
  </conditionalFormatting>
  <dataValidations count="2">
    <dataValidation type="list" allowBlank="1" showInputMessage="1" showErrorMessage="1" sqref="G27 G12:G21" xr:uid="{AB246305-7E05-47E4-AD73-2186BD9DA297}">
      <formula1>LI_ProductTypes</formula1>
    </dataValidation>
    <dataValidation type="list" allowBlank="1" showInputMessage="1" showErrorMessage="1" sqref="F12:F21 G26" xr:uid="{2979604E-9A8B-47C4-A166-F9E241567052}">
      <formula1>LI_BusinessUnits</formula1>
    </dataValidation>
  </dataValidations>
  <hyperlinks>
    <hyperlink ref="A3" location="HL_Navigator" display="Navigator" xr:uid="{D63AED0E-D064-42D6-A305-7B2DF51FE655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29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9.140625" defaultRowHeight="12" x14ac:dyDescent="0.2"/>
  <cols>
    <col min="1" max="5" width="3.7109375" style="68" customWidth="1"/>
    <col min="6" max="6" width="19.5703125" style="68" customWidth="1"/>
    <col min="7" max="7" width="11.7109375" style="68" customWidth="1"/>
    <col min="8" max="8" width="16.5703125" style="68" customWidth="1"/>
    <col min="9" max="9" width="11.7109375" style="68" customWidth="1"/>
    <col min="10" max="16384" width="9.140625" style="68"/>
  </cols>
  <sheetData>
    <row r="1" spans="1:9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Concatenated_SUMIF_Ex</v>
      </c>
    </row>
    <row r="2" spans="1:9" ht="18" x14ac:dyDescent="0.25">
      <c r="A2" s="49" t="str">
        <f ca="1">Model_Name</f>
        <v>Chapter 2.1 - SP Multiple Criteria Examples with Comprehensive Example.xlsx</v>
      </c>
    </row>
    <row r="3" spans="1:9" x14ac:dyDescent="0.2">
      <c r="A3" s="109" t="s">
        <v>1</v>
      </c>
    </row>
    <row r="7" spans="1:9" ht="16.5" x14ac:dyDescent="0.25">
      <c r="B7" s="67" t="s">
        <v>138</v>
      </c>
    </row>
    <row r="9" spans="1:9" ht="15" x14ac:dyDescent="0.25">
      <c r="C9" s="4" t="s">
        <v>127</v>
      </c>
    </row>
    <row r="11" spans="1:9" x14ac:dyDescent="0.2">
      <c r="F11" s="69" t="s">
        <v>120</v>
      </c>
      <c r="G11" s="69" t="s">
        <v>124</v>
      </c>
      <c r="H11" s="63" t="str">
        <f>"'Mega-Criterion'"</f>
        <v>'Mega-Criterion'</v>
      </c>
      <c r="I11" s="63" t="s">
        <v>125</v>
      </c>
    </row>
    <row r="12" spans="1:9" x14ac:dyDescent="0.2">
      <c r="F12" s="62">
        <v>1</v>
      </c>
      <c r="G12" s="62" t="s">
        <v>117</v>
      </c>
      <c r="H12" s="75" t="str">
        <f>F12&amp;G12</f>
        <v>1X</v>
      </c>
      <c r="I12" s="72">
        <v>100</v>
      </c>
    </row>
    <row r="13" spans="1:9" x14ac:dyDescent="0.2">
      <c r="F13" s="62">
        <v>1</v>
      </c>
      <c r="G13" s="62" t="s">
        <v>119</v>
      </c>
      <c r="H13" s="75" t="str">
        <f t="shared" ref="H13:H21" si="0">F13&amp;G13</f>
        <v>1Y</v>
      </c>
      <c r="I13" s="72">
        <v>200</v>
      </c>
    </row>
    <row r="14" spans="1:9" x14ac:dyDescent="0.2">
      <c r="F14" s="62">
        <v>1</v>
      </c>
      <c r="G14" s="62" t="s">
        <v>118</v>
      </c>
      <c r="H14" s="75" t="str">
        <f t="shared" si="0"/>
        <v>1Z</v>
      </c>
      <c r="I14" s="72">
        <v>300</v>
      </c>
    </row>
    <row r="15" spans="1:9" x14ac:dyDescent="0.2">
      <c r="F15" s="62">
        <v>1</v>
      </c>
      <c r="G15" s="62" t="s">
        <v>118</v>
      </c>
      <c r="H15" s="75" t="str">
        <f t="shared" si="0"/>
        <v>1Z</v>
      </c>
      <c r="I15" s="72">
        <v>400</v>
      </c>
    </row>
    <row r="16" spans="1:9" x14ac:dyDescent="0.2">
      <c r="F16" s="62">
        <v>2</v>
      </c>
      <c r="G16" s="62" t="s">
        <v>117</v>
      </c>
      <c r="H16" s="75" t="str">
        <f t="shared" si="0"/>
        <v>2X</v>
      </c>
      <c r="I16" s="72">
        <v>500</v>
      </c>
    </row>
    <row r="17" spans="3:9" x14ac:dyDescent="0.2">
      <c r="F17" s="62">
        <v>2</v>
      </c>
      <c r="G17" s="62" t="s">
        <v>117</v>
      </c>
      <c r="H17" s="75" t="str">
        <f t="shared" si="0"/>
        <v>2X</v>
      </c>
      <c r="I17" s="72">
        <v>600</v>
      </c>
    </row>
    <row r="18" spans="3:9" x14ac:dyDescent="0.2">
      <c r="F18" s="62">
        <v>2</v>
      </c>
      <c r="G18" s="62" t="s">
        <v>118</v>
      </c>
      <c r="H18" s="75" t="str">
        <f t="shared" si="0"/>
        <v>2Z</v>
      </c>
      <c r="I18" s="72">
        <v>700</v>
      </c>
    </row>
    <row r="19" spans="3:9" x14ac:dyDescent="0.2">
      <c r="F19" s="62">
        <v>3</v>
      </c>
      <c r="G19" s="62" t="s">
        <v>119</v>
      </c>
      <c r="H19" s="75" t="str">
        <f t="shared" si="0"/>
        <v>3Y</v>
      </c>
      <c r="I19" s="72">
        <v>800</v>
      </c>
    </row>
    <row r="20" spans="3:9" x14ac:dyDescent="0.2">
      <c r="F20" s="62">
        <v>3</v>
      </c>
      <c r="G20" s="62" t="s">
        <v>118</v>
      </c>
      <c r="H20" s="75" t="str">
        <f t="shared" si="0"/>
        <v>3Z</v>
      </c>
      <c r="I20" s="72">
        <v>900</v>
      </c>
    </row>
    <row r="21" spans="3:9" x14ac:dyDescent="0.2">
      <c r="F21" s="62">
        <v>4</v>
      </c>
      <c r="G21" s="62" t="s">
        <v>119</v>
      </c>
      <c r="H21" s="75" t="str">
        <f t="shared" si="0"/>
        <v>4Y</v>
      </c>
      <c r="I21" s="72">
        <v>1000</v>
      </c>
    </row>
    <row r="22" spans="3:9" x14ac:dyDescent="0.2">
      <c r="H22" s="66"/>
    </row>
    <row r="24" spans="3:9" ht="12" customHeight="1" x14ac:dyDescent="0.25">
      <c r="C24" s="4" t="s">
        <v>136</v>
      </c>
    </row>
    <row r="26" spans="3:9" x14ac:dyDescent="0.2">
      <c r="E26" s="68" t="s">
        <v>128</v>
      </c>
      <c r="G26" s="62" t="s">
        <v>139</v>
      </c>
    </row>
    <row r="28" spans="3:9" ht="12.75" thickBot="1" x14ac:dyDescent="0.25">
      <c r="E28" s="68" t="s">
        <v>116</v>
      </c>
      <c r="G28" s="81">
        <f>SUMIF($H$12:$H$21,$G$26,$I$12:$I$21)</f>
        <v>700</v>
      </c>
      <c r="H28" s="74" t="str">
        <f ca="1">_xlfn.FORMULATEXT(G28)</f>
        <v>=SUMIF($H$12:$H$21,$G$26,$I$12:$I$21)</v>
      </c>
    </row>
    <row r="29" spans="3:9" ht="12.75" thickTop="1" x14ac:dyDescent="0.2"/>
  </sheetData>
  <conditionalFormatting sqref="F12:I21">
    <cfRule type="expression" dxfId="6" priority="1">
      <formula>$H12=$G$26</formula>
    </cfRule>
  </conditionalFormatting>
  <dataValidations count="3">
    <dataValidation type="list" allowBlank="1" showInputMessage="1" showErrorMessage="1" sqref="G12:G21" xr:uid="{00000000-0002-0000-0600-000000000000}">
      <formula1>LI_ProductTypes</formula1>
    </dataValidation>
    <dataValidation type="list" allowBlank="1" showInputMessage="1" showErrorMessage="1" sqref="F12:F21" xr:uid="{00000000-0002-0000-0600-000001000000}">
      <formula1>LI_BusinessUnits</formula1>
    </dataValidation>
    <dataValidation type="list" allowBlank="1" showInputMessage="1" showErrorMessage="1" sqref="G26" xr:uid="{00000000-0002-0000-0600-000002000000}">
      <formula1>$H$12:$H$21</formula1>
    </dataValidation>
  </dataValidations>
  <hyperlinks>
    <hyperlink ref="A3" location="HL_Navigator" display="Navigator" xr:uid="{224A2669-91DB-4FDF-8771-5563112E0CF2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I33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9.140625" defaultRowHeight="12" x14ac:dyDescent="0.2"/>
  <cols>
    <col min="1" max="5" width="3.7109375" style="68" customWidth="1"/>
    <col min="6" max="6" width="12.140625" style="68" bestFit="1" customWidth="1"/>
    <col min="7" max="8" width="11.7109375" style="68" customWidth="1"/>
    <col min="9" max="16384" width="9.140625" style="68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DSUM_Ex1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129</v>
      </c>
    </row>
    <row r="9" spans="1:8" ht="15" x14ac:dyDescent="0.25">
      <c r="C9" s="4" t="s">
        <v>127</v>
      </c>
    </row>
    <row r="11" spans="1:8" x14ac:dyDescent="0.2">
      <c r="F11" s="69" t="s">
        <v>120</v>
      </c>
      <c r="G11" s="69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3</v>
      </c>
      <c r="G21" s="62" t="s">
        <v>119</v>
      </c>
      <c r="H21" s="72">
        <v>1000</v>
      </c>
    </row>
    <row r="24" spans="3:8" ht="12" customHeight="1" x14ac:dyDescent="0.25">
      <c r="C24" s="4" t="s">
        <v>140</v>
      </c>
    </row>
    <row r="26" spans="3:8" x14ac:dyDescent="0.2">
      <c r="F26" s="69" t="s">
        <v>120</v>
      </c>
      <c r="G26" s="69" t="s">
        <v>124</v>
      </c>
    </row>
    <row r="27" spans="3:8" x14ac:dyDescent="0.2">
      <c r="F27" s="62">
        <v>1</v>
      </c>
      <c r="G27" s="62" t="s">
        <v>118</v>
      </c>
    </row>
    <row r="29" spans="3:8" ht="12.75" thickBot="1" x14ac:dyDescent="0.25">
      <c r="E29" s="68" t="s">
        <v>116</v>
      </c>
      <c r="G29" s="81">
        <f>DSUM($F$11:$H$21,3,$F$26:$G$27)</f>
        <v>700</v>
      </c>
    </row>
    <row r="30" spans="3:8" ht="12.75" thickTop="1" x14ac:dyDescent="0.2"/>
    <row r="33" spans="9:9" x14ac:dyDescent="0.2">
      <c r="I33" s="74" t="str">
        <f ca="1">_xlfn.FORMULATEXT(G29)</f>
        <v>=DSUM($F$11:$H$21,3,$F$26:$G$27)</v>
      </c>
    </row>
  </sheetData>
  <conditionalFormatting sqref="F12:H21">
    <cfRule type="expression" dxfId="5" priority="1">
      <formula>AND($F12=$F$27,$G12=$G$27)</formula>
    </cfRule>
  </conditionalFormatting>
  <dataValidations disablePrompts="1" count="2">
    <dataValidation type="list" allowBlank="1" showInputMessage="1" showErrorMessage="1" sqref="F12:F21 F27" xr:uid="{00000000-0002-0000-0800-000000000000}">
      <formula1>LI_BusinessUnits</formula1>
    </dataValidation>
    <dataValidation type="list" allowBlank="1" showInputMessage="1" showErrorMessage="1" sqref="G12:G21 G27" xr:uid="{00000000-0002-0000-0800-000001000000}">
      <formula1>LI_ProductTypes</formula1>
    </dataValidation>
  </dataValidations>
  <hyperlinks>
    <hyperlink ref="A3" location="HL_Navigator" display="Navigator" xr:uid="{966E5D4A-C621-4CDD-A863-9E8D72461649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45BB-D889-44AE-AE6F-5E9F3647E5AE}">
  <sheetPr codeName="Sheet15"/>
  <dimension ref="A1:H31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9.140625" defaultRowHeight="12" x14ac:dyDescent="0.2"/>
  <cols>
    <col min="1" max="5" width="3.7109375" style="77" customWidth="1"/>
    <col min="6" max="6" width="12.140625" style="77" bestFit="1" customWidth="1"/>
    <col min="7" max="8" width="11.7109375" style="77" customWidth="1"/>
    <col min="9" max="16384" width="9.140625" style="77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DSUM_Ex2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129</v>
      </c>
    </row>
    <row r="9" spans="1:8" ht="15" x14ac:dyDescent="0.25">
      <c r="C9" s="4" t="s">
        <v>127</v>
      </c>
    </row>
    <row r="11" spans="1:8" x14ac:dyDescent="0.2">
      <c r="F11" s="78" t="s">
        <v>120</v>
      </c>
      <c r="G11" s="78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4</v>
      </c>
      <c r="G21" s="62" t="s">
        <v>119</v>
      </c>
      <c r="H21" s="72">
        <v>1000</v>
      </c>
    </row>
    <row r="24" spans="3:8" ht="15" x14ac:dyDescent="0.25">
      <c r="C24" s="4" t="s">
        <v>140</v>
      </c>
    </row>
    <row r="26" spans="3:8" x14ac:dyDescent="0.2">
      <c r="F26" s="78" t="s">
        <v>120</v>
      </c>
      <c r="G26" s="78" t="s">
        <v>124</v>
      </c>
    </row>
    <row r="27" spans="3:8" x14ac:dyDescent="0.2">
      <c r="F27" s="62">
        <v>1</v>
      </c>
      <c r="G27" s="62"/>
    </row>
    <row r="28" spans="3:8" x14ac:dyDescent="0.2">
      <c r="F28" s="62"/>
      <c r="G28" s="62" t="s">
        <v>118</v>
      </c>
    </row>
    <row r="30" spans="3:8" ht="12.75" thickBot="1" x14ac:dyDescent="0.25">
      <c r="E30" s="77" t="s">
        <v>116</v>
      </c>
      <c r="G30" s="81">
        <f>DSUM($F$11:$H$21,3,$F$26:$G$28)</f>
        <v>2600</v>
      </c>
      <c r="H30" s="74" t="str">
        <f ca="1">_xlfn.FORMULATEXT(G30)</f>
        <v>=DSUM($F$11:$H$21,3,$F$26:$G$28)</v>
      </c>
    </row>
    <row r="31" spans="3:8" ht="12.75" thickTop="1" x14ac:dyDescent="0.2"/>
  </sheetData>
  <conditionalFormatting sqref="F12:H21">
    <cfRule type="expression" dxfId="4" priority="4">
      <formula>IF(AND(ISBLANK($F$28),ISBLANK($G$28)),FALSE,AND(OR(ISBLANK($F$28),$F12=$F$28),OR(ISBLANK($G$28),$G12=$G$28)))</formula>
    </cfRule>
    <cfRule type="expression" dxfId="3" priority="5">
      <formula>IF(AND(ISBLANK($F$27),ISBLANK($G$27)),FALSE,AND(OR(ISBLANK($F$27),$F12=$F$27),OR(ISBLANK($G$27),$G12=$G$27)))</formula>
    </cfRule>
  </conditionalFormatting>
  <dataValidations count="2">
    <dataValidation type="list" allowBlank="1" showInputMessage="1" showErrorMessage="1" sqref="G12:G21 G27:G28" xr:uid="{44BB76DC-6196-4DC0-99A7-D8196A8BFF62}">
      <formula1>LI_ProductTypes</formula1>
    </dataValidation>
    <dataValidation type="list" allowBlank="1" showInputMessage="1" showErrorMessage="1" sqref="F12:F21 F27:F28" xr:uid="{BD7EF88D-F52C-47CB-80AD-0B14A7A8AF07}">
      <formula1>LI_BusinessUnits</formula1>
    </dataValidation>
  </dataValidations>
  <hyperlinks>
    <hyperlink ref="A3" location="HL_Navigator" display="Navigator" xr:uid="{585DD710-6C82-443A-B67C-4DDACAC746B5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2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68" customWidth="1"/>
    <col min="6" max="6" width="12.140625" style="68" bestFit="1" customWidth="1"/>
    <col min="7" max="8" width="11.7109375" style="68" customWidth="1"/>
    <col min="9" max="16384" width="9.140625" style="68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Example_Sales_Report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141</v>
      </c>
    </row>
    <row r="9" spans="1:8" ht="15" x14ac:dyDescent="0.25">
      <c r="C9" s="4" t="s">
        <v>127</v>
      </c>
    </row>
    <row r="11" spans="1:8" x14ac:dyDescent="0.2">
      <c r="F11" s="69" t="s">
        <v>131</v>
      </c>
      <c r="G11" s="69" t="s">
        <v>132</v>
      </c>
      <c r="H11" s="63" t="s">
        <v>116</v>
      </c>
    </row>
    <row r="12" spans="1:8" x14ac:dyDescent="0.2">
      <c r="F12" s="72">
        <v>1</v>
      </c>
      <c r="G12" s="76">
        <v>10</v>
      </c>
      <c r="H12" s="73">
        <f t="shared" ref="H12:H17" si="0">F12*G12</f>
        <v>10</v>
      </c>
    </row>
    <row r="13" spans="1:8" x14ac:dyDescent="0.2">
      <c r="F13" s="72">
        <v>2</v>
      </c>
      <c r="G13" s="76">
        <v>18</v>
      </c>
      <c r="H13" s="73">
        <f t="shared" si="0"/>
        <v>36</v>
      </c>
    </row>
    <row r="14" spans="1:8" x14ac:dyDescent="0.2">
      <c r="F14" s="72">
        <v>5</v>
      </c>
      <c r="G14" s="76">
        <v>25</v>
      </c>
      <c r="H14" s="73">
        <f t="shared" si="0"/>
        <v>125</v>
      </c>
    </row>
    <row r="15" spans="1:8" x14ac:dyDescent="0.2">
      <c r="F15" s="72">
        <v>10</v>
      </c>
      <c r="G15" s="76">
        <v>6</v>
      </c>
      <c r="H15" s="73">
        <f t="shared" si="0"/>
        <v>60</v>
      </c>
    </row>
    <row r="16" spans="1:8" x14ac:dyDescent="0.2">
      <c r="F16" s="72">
        <v>50</v>
      </c>
      <c r="G16" s="76">
        <v>9</v>
      </c>
      <c r="H16" s="73">
        <f t="shared" si="0"/>
        <v>450</v>
      </c>
    </row>
    <row r="17" spans="6:8" x14ac:dyDescent="0.2">
      <c r="F17" s="72">
        <v>100</v>
      </c>
      <c r="G17" s="76">
        <v>4</v>
      </c>
      <c r="H17" s="73">
        <f t="shared" si="0"/>
        <v>400</v>
      </c>
    </row>
    <row r="19" spans="6:8" ht="12.75" thickBot="1" x14ac:dyDescent="0.25">
      <c r="F19" s="95" t="s">
        <v>176</v>
      </c>
      <c r="H19" s="94">
        <f>SUM(H12:H17)</f>
        <v>1081</v>
      </c>
    </row>
    <row r="20" spans="6:8" ht="12.75" thickTop="1" x14ac:dyDescent="0.2"/>
    <row r="21" spans="6:8" x14ac:dyDescent="0.2">
      <c r="H21" s="86" t="str">
        <f ca="1">_xlfn.FORMULATEXT(H19)</f>
        <v>=SUM(H12:H17)</v>
      </c>
    </row>
    <row r="24" spans="6:8" ht="12.75" thickBot="1" x14ac:dyDescent="0.25">
      <c r="F24" s="95" t="s">
        <v>175</v>
      </c>
      <c r="H24" s="94">
        <f>SUMPRODUCT(F12:F17,G12:G17)</f>
        <v>1081</v>
      </c>
    </row>
    <row r="25" spans="6:8" ht="12.75" thickTop="1" x14ac:dyDescent="0.2">
      <c r="H25" s="85"/>
    </row>
    <row r="26" spans="6:8" x14ac:dyDescent="0.2">
      <c r="H26" s="86" t="str">
        <f ca="1">_xlfn.FORMULATEXT(H24)</f>
        <v>=SUMPRODUCT(F12:F17,G12:G17)</v>
      </c>
    </row>
  </sheetData>
  <hyperlinks>
    <hyperlink ref="A3" location="HL_Navigator" display="Navigator" xr:uid="{8753518C-6616-4A7F-80D9-27C7A551A982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D5E6-1BB3-444F-B490-3FA484AF2EC8}">
  <sheetPr codeName="Sheet9"/>
  <dimension ref="A1:H3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71" customWidth="1"/>
    <col min="6" max="7" width="11.7109375" style="71" customWidth="1"/>
    <col min="8" max="8" width="13.5703125" style="71" bestFit="1" customWidth="1"/>
    <col min="9" max="9" width="12.85546875" style="71" customWidth="1"/>
    <col min="10" max="16384" width="9.140625" style="71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SUMPRODUCT_Ex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177</v>
      </c>
    </row>
    <row r="9" spans="1:8" ht="15" x14ac:dyDescent="0.25">
      <c r="C9" s="4" t="s">
        <v>127</v>
      </c>
    </row>
    <row r="11" spans="1:8" x14ac:dyDescent="0.2">
      <c r="F11" s="70" t="s">
        <v>120</v>
      </c>
      <c r="G11" s="70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>
        <v>600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3</v>
      </c>
      <c r="G21" s="62" t="s">
        <v>119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155</v>
      </c>
    </row>
    <row r="26" spans="3:8" x14ac:dyDescent="0.2">
      <c r="E26" s="71" t="s">
        <v>120</v>
      </c>
      <c r="G26" s="62"/>
    </row>
    <row r="27" spans="3:8" x14ac:dyDescent="0.2">
      <c r="E27" s="71" t="s">
        <v>124</v>
      </c>
      <c r="G27" s="62"/>
    </row>
    <row r="29" spans="3:8" ht="12.75" thickBot="1" x14ac:dyDescent="0.25">
      <c r="E29" s="71" t="s">
        <v>116</v>
      </c>
      <c r="G29" s="81" cm="1">
        <f t="array" ref="G29">SUMPRODUCT((F12:F21=G26)*(G12:G21=G27)*H12:H21)</f>
        <v>0</v>
      </c>
    </row>
    <row r="30" spans="3:8" ht="12.75" thickTop="1" x14ac:dyDescent="0.2"/>
    <row r="31" spans="3:8" x14ac:dyDescent="0.2">
      <c r="G31" s="86" t="str">
        <f ca="1">_xlfn.FORMULATEXT(G29)</f>
        <v>=SUMPRODUCT((F12:F21=G26)*(G12:G21=G27)*H12:H21)</v>
      </c>
    </row>
  </sheetData>
  <dataValidations count="2">
    <dataValidation type="list" allowBlank="1" showInputMessage="1" showErrorMessage="1" sqref="G27 G12:G21" xr:uid="{48231063-21F4-47B7-82D3-24C7B4BA0437}">
      <formula1>LI_ProductTypes</formula1>
    </dataValidation>
    <dataValidation type="list" allowBlank="1" showInputMessage="1" showErrorMessage="1" sqref="G26 F12:F21" xr:uid="{B29E7B3D-D768-42F9-ACBB-A4E69A6862B7}">
      <formula1>LI_BusinessUnits</formula1>
    </dataValidation>
  </dataValidations>
  <hyperlinks>
    <hyperlink ref="A3" location="HL_Navigator" display="Navigator" xr:uid="{BE7D22B2-E8F5-46D9-B5B2-82C7166EEE07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3A00-680E-44A0-91B6-751558ED3BF0}">
  <sheetPr codeName="Sheet21"/>
  <dimension ref="A1:N3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6" width="17" style="85" bestFit="1" customWidth="1"/>
    <col min="7" max="7" width="11.7109375" style="85" customWidth="1"/>
    <col min="8" max="8" width="13.5703125" style="85" bestFit="1" customWidth="1"/>
    <col min="9" max="9" width="12.85546875" style="85" customWidth="1"/>
    <col min="10" max="12" width="9.5703125" style="85" bestFit="1" customWidth="1"/>
    <col min="13" max="16384" width="9.140625" style="85"/>
  </cols>
  <sheetData>
    <row r="1" spans="1:14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SUMPRODUCT Comprehensive</v>
      </c>
    </row>
    <row r="2" spans="1:14" ht="18" x14ac:dyDescent="0.25">
      <c r="A2" s="49" t="str">
        <f ca="1">Model_Name</f>
        <v>Chapter 2.1 - SP Multiple Criteria Examples with Comprehensive Example.xlsx</v>
      </c>
    </row>
    <row r="3" spans="1:14" x14ac:dyDescent="0.2">
      <c r="A3" s="109" t="s">
        <v>1</v>
      </c>
    </row>
    <row r="7" spans="1:14" ht="16.5" x14ac:dyDescent="0.25">
      <c r="B7" s="67" t="s">
        <v>177</v>
      </c>
    </row>
    <row r="9" spans="1:14" ht="15" x14ac:dyDescent="0.25">
      <c r="C9" s="4" t="s">
        <v>183</v>
      </c>
    </row>
    <row r="11" spans="1:14" ht="36" x14ac:dyDescent="0.2">
      <c r="F11" s="84" t="s">
        <v>184</v>
      </c>
      <c r="G11" s="84" t="s">
        <v>185</v>
      </c>
      <c r="H11" s="98" t="s">
        <v>186</v>
      </c>
      <c r="I11" s="98" t="s">
        <v>187</v>
      </c>
      <c r="J11" s="98" t="s">
        <v>188</v>
      </c>
      <c r="K11" s="98" t="s">
        <v>189</v>
      </c>
      <c r="L11" s="98" t="s">
        <v>190</v>
      </c>
      <c r="M11" s="98" t="s">
        <v>191</v>
      </c>
      <c r="N11" s="98" t="s">
        <v>192</v>
      </c>
    </row>
    <row r="12" spans="1:14" x14ac:dyDescent="0.2">
      <c r="F12" s="24" t="s">
        <v>193</v>
      </c>
      <c r="G12" s="24" t="s">
        <v>194</v>
      </c>
      <c r="H12" s="99">
        <v>80</v>
      </c>
      <c r="I12" s="100">
        <v>4</v>
      </c>
      <c r="J12" s="100">
        <v>1.5</v>
      </c>
      <c r="K12" s="100">
        <v>6</v>
      </c>
      <c r="L12" s="100">
        <v>3</v>
      </c>
      <c r="M12" s="101">
        <v>480</v>
      </c>
      <c r="N12" s="101">
        <v>250</v>
      </c>
    </row>
    <row r="13" spans="1:14" x14ac:dyDescent="0.2">
      <c r="F13" s="24" t="s">
        <v>195</v>
      </c>
      <c r="G13" s="24" t="s">
        <v>196</v>
      </c>
      <c r="H13" s="99">
        <v>45</v>
      </c>
      <c r="I13" s="100">
        <v>3</v>
      </c>
      <c r="J13" s="100">
        <v>0.5</v>
      </c>
      <c r="K13" s="100">
        <v>1</v>
      </c>
      <c r="L13" s="100">
        <v>3</v>
      </c>
      <c r="M13" s="101">
        <v>280</v>
      </c>
      <c r="N13" s="101">
        <v>200</v>
      </c>
    </row>
    <row r="14" spans="1:14" x14ac:dyDescent="0.2">
      <c r="F14" s="24" t="s">
        <v>197</v>
      </c>
      <c r="G14" s="24" t="s">
        <v>196</v>
      </c>
      <c r="H14" s="99">
        <v>50</v>
      </c>
      <c r="I14" s="100">
        <v>3.5</v>
      </c>
      <c r="J14" s="100">
        <v>0.5</v>
      </c>
      <c r="K14" s="100">
        <v>0</v>
      </c>
      <c r="L14" s="100">
        <v>1</v>
      </c>
      <c r="M14" s="101">
        <v>1350</v>
      </c>
      <c r="N14" s="101">
        <v>100</v>
      </c>
    </row>
    <row r="15" spans="1:14" x14ac:dyDescent="0.2">
      <c r="F15" s="24" t="s">
        <v>198</v>
      </c>
      <c r="G15" s="24" t="s">
        <v>194</v>
      </c>
      <c r="H15" s="99">
        <v>150</v>
      </c>
      <c r="I15" s="100">
        <v>5</v>
      </c>
      <c r="J15" s="100">
        <v>0.75</v>
      </c>
      <c r="K15" s="100">
        <v>2</v>
      </c>
      <c r="L15" s="100">
        <v>3</v>
      </c>
      <c r="M15" s="101">
        <v>400</v>
      </c>
      <c r="N15" s="101">
        <v>350</v>
      </c>
    </row>
    <row r="18" spans="3:14" ht="15" x14ac:dyDescent="0.25">
      <c r="C18" s="4" t="s">
        <v>199</v>
      </c>
    </row>
    <row r="20" spans="3:14" ht="24" x14ac:dyDescent="0.2">
      <c r="F20" s="84"/>
      <c r="G20" s="84"/>
      <c r="H20" s="98"/>
      <c r="I20" s="98" t="s">
        <v>200</v>
      </c>
      <c r="J20" s="98" t="s">
        <v>200</v>
      </c>
      <c r="K20" s="98" t="s">
        <v>200</v>
      </c>
      <c r="L20" s="98" t="s">
        <v>200</v>
      </c>
      <c r="M20" s="98" t="s">
        <v>201</v>
      </c>
      <c r="N20" s="98" t="s">
        <v>201</v>
      </c>
    </row>
    <row r="21" spans="3:14" x14ac:dyDescent="0.2">
      <c r="F21" s="85" t="s">
        <v>202</v>
      </c>
      <c r="I21" s="101">
        <v>87</v>
      </c>
      <c r="J21" s="101">
        <v>685</v>
      </c>
      <c r="K21" s="101">
        <v>19</v>
      </c>
      <c r="L21" s="101">
        <v>23</v>
      </c>
      <c r="M21" s="99">
        <v>1</v>
      </c>
      <c r="N21" s="99">
        <v>1</v>
      </c>
    </row>
    <row r="24" spans="3:14" ht="12" customHeight="1" x14ac:dyDescent="0.25">
      <c r="C24" s="4" t="s">
        <v>203</v>
      </c>
    </row>
    <row r="26" spans="3:14" x14ac:dyDescent="0.2">
      <c r="I26" s="84"/>
      <c r="J26" s="84" t="s">
        <v>204</v>
      </c>
      <c r="K26" s="84" t="str">
        <f>G14</f>
        <v>Budget</v>
      </c>
      <c r="L26" s="84" t="str">
        <f>G15</f>
        <v>Standard</v>
      </c>
    </row>
    <row r="27" spans="3:14" x14ac:dyDescent="0.2">
      <c r="I27" s="85" t="s">
        <v>205</v>
      </c>
      <c r="J27" s="105" cm="1">
        <f t="array" ref="J27">SUMPRODUCT($H$12:$H$15*$I$12:$N$15*$I$21:$N$21)</f>
        <v>612660</v>
      </c>
      <c r="K27" s="102" cm="1">
        <f t="array" ref="K27">SUMPRODUCT($H$12:$H$15*$I$12:$N$15*$I$21:$N$21*($G$12:$G$15=K$26))</f>
        <v>158717.5</v>
      </c>
      <c r="L27" s="102" cm="1">
        <f t="array" ref="L27">SUMPRODUCT($H$12:$H$15*$I$12:$N$15*$I$21:$N$21*($G$12:$G$15=L$26))</f>
        <v>453942.5</v>
      </c>
    </row>
    <row r="28" spans="3:14" x14ac:dyDescent="0.2">
      <c r="I28" s="85" t="s">
        <v>206</v>
      </c>
      <c r="J28" s="104">
        <f>SUM(H12:H15)</f>
        <v>325</v>
      </c>
      <c r="K28" s="104" cm="1">
        <f t="array" ref="K28">SUMPRODUCT(--($G$12:$G$15=K$26),($H$12:$H$15))</f>
        <v>95</v>
      </c>
      <c r="L28" s="104" cm="1">
        <f t="array" ref="L28">SUMPRODUCT(--($G$12:$G$15=L$26),($H$12:$H$15))</f>
        <v>230</v>
      </c>
    </row>
    <row r="29" spans="3:14" x14ac:dyDescent="0.2">
      <c r="I29" s="95" t="s">
        <v>207</v>
      </c>
      <c r="J29" s="103">
        <f>IF(J28=0,0,J27/J28)</f>
        <v>1885.1076923076923</v>
      </c>
      <c r="K29" s="103">
        <f>IF(K28=0,0,K27/K28)</f>
        <v>1670.7105263157894</v>
      </c>
      <c r="L29" s="103">
        <f>IF(L28=0,0,L27/L28)</f>
        <v>1973.6630434782608</v>
      </c>
    </row>
    <row r="31" spans="3:14" x14ac:dyDescent="0.2">
      <c r="J31" s="86" t="str">
        <f ca="1">_xlfn.FORMULATEXT(J27)</f>
        <v>=SUMPRODUCT($H$12:$H$15*$I$12:$N$15*$I$21:$N$21)</v>
      </c>
    </row>
  </sheetData>
  <hyperlinks>
    <hyperlink ref="A3" location="HL_Navigator" display="Navigator" xr:uid="{2ABC0545-AF4C-4C7D-938F-893F3AE20D4A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2808-E58F-4D53-A3FF-2134CB848984}">
  <sheetPr codeName="Sheet20"/>
  <dimension ref="A1:H28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2" x14ac:dyDescent="0.2"/>
  <cols>
    <col min="1" max="5" width="3.7109375" style="85" customWidth="1"/>
    <col min="6" max="7" width="11.7109375" style="85" customWidth="1"/>
    <col min="8" max="8" width="13.5703125" style="85" bestFit="1" customWidth="1"/>
    <col min="9" max="9" width="12.85546875" style="85" customWidth="1"/>
    <col min="10" max="16384" width="9.140625" style="85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SUMPRODUCT_Ex (2)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178</v>
      </c>
    </row>
    <row r="9" spans="1:8" ht="15" x14ac:dyDescent="0.25">
      <c r="C9" s="4" t="s">
        <v>127</v>
      </c>
    </row>
    <row r="11" spans="1:8" x14ac:dyDescent="0.2">
      <c r="F11" s="84" t="s">
        <v>179</v>
      </c>
      <c r="G11" s="84" t="s">
        <v>180</v>
      </c>
      <c r="H11" s="63" t="s">
        <v>181</v>
      </c>
    </row>
    <row r="12" spans="1:8" x14ac:dyDescent="0.2">
      <c r="F12" s="96">
        <v>17358</v>
      </c>
      <c r="G12" s="96">
        <v>17358</v>
      </c>
      <c r="H12" s="72">
        <v>100</v>
      </c>
    </row>
    <row r="13" spans="1:8" x14ac:dyDescent="0.2">
      <c r="F13" s="96">
        <v>41456</v>
      </c>
      <c r="G13" s="96">
        <v>41456</v>
      </c>
      <c r="H13" s="72">
        <v>200</v>
      </c>
    </row>
    <row r="14" spans="1:8" x14ac:dyDescent="0.2">
      <c r="F14" s="96">
        <v>92675</v>
      </c>
      <c r="G14" s="96">
        <v>92666</v>
      </c>
      <c r="H14" s="72">
        <v>300</v>
      </c>
    </row>
    <row r="15" spans="1:8" x14ac:dyDescent="0.2">
      <c r="F15" s="96">
        <v>111258</v>
      </c>
      <c r="G15" s="96">
        <v>111258</v>
      </c>
      <c r="H15" s="72">
        <v>400</v>
      </c>
    </row>
    <row r="16" spans="1:8" x14ac:dyDescent="0.2">
      <c r="F16" s="96">
        <v>157792</v>
      </c>
      <c r="G16" s="96">
        <v>157792</v>
      </c>
      <c r="H16" s="72">
        <v>500</v>
      </c>
    </row>
    <row r="17" spans="3:8" x14ac:dyDescent="0.2">
      <c r="F17" s="96">
        <v>256148</v>
      </c>
      <c r="G17" s="96">
        <v>256148</v>
      </c>
      <c r="H17" s="72">
        <v>600</v>
      </c>
    </row>
    <row r="18" spans="3:8" x14ac:dyDescent="0.2">
      <c r="F18" s="96">
        <v>336691</v>
      </c>
      <c r="G18" s="96">
        <v>336691</v>
      </c>
      <c r="H18" s="72">
        <v>700</v>
      </c>
    </row>
    <row r="19" spans="3:8" x14ac:dyDescent="0.2">
      <c r="F19" s="96">
        <v>479020</v>
      </c>
      <c r="G19" s="96">
        <v>479002</v>
      </c>
      <c r="H19" s="72">
        <v>800</v>
      </c>
    </row>
    <row r="20" spans="3:8" x14ac:dyDescent="0.2">
      <c r="F20" s="96">
        <v>500838</v>
      </c>
      <c r="G20" s="96">
        <v>500838</v>
      </c>
      <c r="H20" s="72">
        <v>900</v>
      </c>
    </row>
    <row r="21" spans="3:8" x14ac:dyDescent="0.2">
      <c r="F21" s="96">
        <v>771496</v>
      </c>
      <c r="G21" s="96">
        <v>771496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155</v>
      </c>
    </row>
    <row r="26" spans="3:8" ht="12.75" thickBot="1" x14ac:dyDescent="0.25">
      <c r="E26" s="85" t="s">
        <v>182</v>
      </c>
      <c r="G26" s="97" cm="1">
        <f t="array" ref="G26">SUMPRODUCT((F12:F21=G12:G21)*H12:H21)</f>
        <v>4400</v>
      </c>
    </row>
    <row r="27" spans="3:8" ht="12.75" thickTop="1" x14ac:dyDescent="0.2"/>
    <row r="28" spans="3:8" x14ac:dyDescent="0.2">
      <c r="G28" s="86" t="str">
        <f ca="1">_xlfn.FORMULATEXT(G26)</f>
        <v>=SUMPRODUCT((F12:F21=G12:G21)*H12:H21)</v>
      </c>
    </row>
  </sheetData>
  <conditionalFormatting sqref="H12:H21">
    <cfRule type="expression" dxfId="2" priority="1">
      <formula>F12&lt;&gt;G12</formula>
    </cfRule>
  </conditionalFormatting>
  <hyperlinks>
    <hyperlink ref="A3" location="HL_Navigator" display="Navigator" xr:uid="{A6D1F6F2-264E-4443-9D51-8355B36B56DC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5A2B-0929-4924-A5FE-872EED3D473E}">
  <sheetPr codeName="Sheet10"/>
  <dimension ref="A1:H32"/>
  <sheetViews>
    <sheetView showGridLines="0" zoomScaleNormal="100" workbookViewId="0">
      <pane ySplit="4" topLeftCell="A5" activePane="bottomLeft" state="frozen"/>
      <selection activeCell="G29" sqref="G29"/>
      <selection pane="bottomLeft" activeCell="A5" sqref="A5"/>
    </sheetView>
  </sheetViews>
  <sheetFormatPr defaultColWidth="9.140625" defaultRowHeight="12" x14ac:dyDescent="0.2"/>
  <cols>
    <col min="1" max="5" width="3.7109375" style="71" customWidth="1"/>
    <col min="6" max="7" width="11.7109375" style="71" customWidth="1"/>
    <col min="8" max="8" width="13.5703125" style="71" bestFit="1" customWidth="1"/>
    <col min="9" max="9" width="15.85546875" style="71" customWidth="1"/>
    <col min="10" max="16384" width="9.140625" style="71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Error_Text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130</v>
      </c>
    </row>
    <row r="9" spans="1:8" ht="15" x14ac:dyDescent="0.25">
      <c r="C9" s="4" t="s">
        <v>127</v>
      </c>
    </row>
    <row r="11" spans="1:8" x14ac:dyDescent="0.2">
      <c r="F11" s="70" t="s">
        <v>120</v>
      </c>
      <c r="G11" s="70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x14ac:dyDescent="0.2">
      <c r="F13" s="62">
        <v>1</v>
      </c>
      <c r="G13" s="62" t="s">
        <v>119</v>
      </c>
      <c r="H13" s="72">
        <v>200</v>
      </c>
    </row>
    <row r="14" spans="1:8" x14ac:dyDescent="0.2">
      <c r="F14" s="62">
        <v>1</v>
      </c>
      <c r="G14" s="62" t="s">
        <v>118</v>
      </c>
      <c r="H14" s="72">
        <v>300</v>
      </c>
    </row>
    <row r="15" spans="1:8" x14ac:dyDescent="0.2">
      <c r="F15" s="62">
        <v>1</v>
      </c>
      <c r="G15" s="62" t="s">
        <v>118</v>
      </c>
      <c r="H15" s="72">
        <v>400</v>
      </c>
    </row>
    <row r="16" spans="1:8" x14ac:dyDescent="0.2">
      <c r="F16" s="62">
        <v>2</v>
      </c>
      <c r="G16" s="62" t="s">
        <v>117</v>
      </c>
      <c r="H16" s="72">
        <v>500</v>
      </c>
    </row>
    <row r="17" spans="3:8" x14ac:dyDescent="0.2">
      <c r="F17" s="62">
        <v>2</v>
      </c>
      <c r="G17" s="62" t="s">
        <v>117</v>
      </c>
      <c r="H17" s="72" t="s">
        <v>143</v>
      </c>
    </row>
    <row r="18" spans="3:8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4</v>
      </c>
      <c r="G21" s="62" t="s">
        <v>119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142</v>
      </c>
    </row>
    <row r="26" spans="3:8" x14ac:dyDescent="0.2">
      <c r="E26" s="71" t="s">
        <v>120</v>
      </c>
      <c r="G26" s="62">
        <v>1</v>
      </c>
    </row>
    <row r="27" spans="3:8" x14ac:dyDescent="0.2">
      <c r="E27" s="71" t="s">
        <v>124</v>
      </c>
      <c r="G27" s="62" t="s">
        <v>117</v>
      </c>
    </row>
    <row r="29" spans="3:8" ht="12.75" thickBot="1" x14ac:dyDescent="0.25">
      <c r="E29" s="71" t="s">
        <v>159</v>
      </c>
      <c r="G29" s="81" t="e">
        <f>SUMPRODUCT(($F$12:$F$21=$G$26)*($G$12:$G$21=$G$27)*$H$12:$H$21)</f>
        <v>#VALUE!</v>
      </c>
      <c r="H29" s="74" t="s">
        <v>133</v>
      </c>
    </row>
    <row r="30" spans="3:8" ht="12.75" thickTop="1" x14ac:dyDescent="0.2"/>
    <row r="31" spans="3:8" ht="12.75" thickBot="1" x14ac:dyDescent="0.25">
      <c r="E31" s="71" t="s">
        <v>160</v>
      </c>
      <c r="G31" s="81">
        <f>SUMIFS($H$12:$H$21,$F$12:$F$21,$G$26,$G$12:$G$21,$G$27)</f>
        <v>100</v>
      </c>
      <c r="H31" s="74" t="s">
        <v>134</v>
      </c>
    </row>
    <row r="32" spans="3:8" ht="12.75" thickTop="1" x14ac:dyDescent="0.2"/>
  </sheetData>
  <conditionalFormatting sqref="F12:H21">
    <cfRule type="expression" dxfId="1" priority="1">
      <formula>AND($F12=$G$26,$G12=$G$27)</formula>
    </cfRule>
  </conditionalFormatting>
  <dataValidations count="2">
    <dataValidation type="list" allowBlank="1" showInputMessage="1" showErrorMessage="1" sqref="G26 F12:F21" xr:uid="{9001FA8F-7862-4170-A766-2EB03E051F4E}">
      <formula1>LI_BusinessUnits</formula1>
    </dataValidation>
    <dataValidation type="list" allowBlank="1" showInputMessage="1" showErrorMessage="1" sqref="G27 G12:G21" xr:uid="{97604254-DB10-478E-A037-988DE4EA253A}">
      <formula1>LI_ProductTypes</formula1>
    </dataValidation>
  </dataValidations>
  <hyperlinks>
    <hyperlink ref="A3" location="HL_Navigator" display="Navigator" xr:uid="{A548633D-104C-45A7-BCEA-D1246E85F08C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74CA-64F3-438B-B7B6-54E984E0CFFF}">
  <sheetPr codeName="Sheet11"/>
  <dimension ref="A1:H34"/>
  <sheetViews>
    <sheetView showGridLines="0" zoomScaleNormal="100" workbookViewId="0">
      <pane ySplit="4" topLeftCell="A5" activePane="bottomLeft" state="frozen"/>
      <selection activeCell="G4" sqref="G4"/>
      <selection pane="bottomLeft" activeCell="A5" sqref="A5"/>
    </sheetView>
  </sheetViews>
  <sheetFormatPr defaultColWidth="9.140625" defaultRowHeight="12" x14ac:dyDescent="0.2"/>
  <cols>
    <col min="1" max="5" width="3.7109375" style="71" customWidth="1"/>
    <col min="6" max="7" width="11.7109375" style="71" customWidth="1"/>
    <col min="8" max="8" width="13.5703125" style="71" bestFit="1" customWidth="1"/>
    <col min="9" max="9" width="18" style="71" customWidth="1"/>
    <col min="10" max="16384" width="9.140625" style="71"/>
  </cols>
  <sheetData>
    <row r="1" spans="1:8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Error_NA</v>
      </c>
    </row>
    <row r="2" spans="1:8" ht="18" x14ac:dyDescent="0.25">
      <c r="A2" s="49" t="str">
        <f ca="1">Model_Name</f>
        <v>Chapter 2.1 - SP Multiple Criteria Examples with Comprehensive Example.xlsx</v>
      </c>
    </row>
    <row r="3" spans="1:8" x14ac:dyDescent="0.2">
      <c r="A3" s="109" t="s">
        <v>1</v>
      </c>
    </row>
    <row r="7" spans="1:8" ht="16.5" x14ac:dyDescent="0.25">
      <c r="B7" s="67" t="s">
        <v>130</v>
      </c>
    </row>
    <row r="9" spans="1:8" ht="15" x14ac:dyDescent="0.25">
      <c r="C9" s="4" t="s">
        <v>127</v>
      </c>
    </row>
    <row r="11" spans="1:8" x14ac:dyDescent="0.2">
      <c r="F11" s="79" t="s">
        <v>120</v>
      </c>
      <c r="G11" s="79" t="s">
        <v>124</v>
      </c>
      <c r="H11" s="63" t="s">
        <v>125</v>
      </c>
    </row>
    <row r="12" spans="1:8" x14ac:dyDescent="0.2">
      <c r="F12" s="62">
        <v>1</v>
      </c>
      <c r="G12" s="62" t="s">
        <v>117</v>
      </c>
      <c r="H12" s="72">
        <v>100</v>
      </c>
    </row>
    <row r="13" spans="1:8" s="80" customFormat="1" x14ac:dyDescent="0.2">
      <c r="F13" s="62">
        <v>1</v>
      </c>
      <c r="G13" s="62" t="s">
        <v>119</v>
      </c>
      <c r="H13" s="72">
        <v>200</v>
      </c>
    </row>
    <row r="14" spans="1:8" s="80" customFormat="1" x14ac:dyDescent="0.2">
      <c r="F14" s="62">
        <v>1</v>
      </c>
      <c r="G14" s="62" t="s">
        <v>118</v>
      </c>
      <c r="H14" s="72">
        <v>300</v>
      </c>
    </row>
    <row r="15" spans="1:8" s="80" customFormat="1" x14ac:dyDescent="0.2">
      <c r="F15" s="62">
        <v>1</v>
      </c>
      <c r="G15" s="62" t="s">
        <v>118</v>
      </c>
      <c r="H15" s="72" t="e">
        <v>#N/A</v>
      </c>
    </row>
    <row r="16" spans="1:8" s="80" customFormat="1" x14ac:dyDescent="0.2">
      <c r="F16" s="62">
        <v>2</v>
      </c>
      <c r="G16" s="62" t="s">
        <v>117</v>
      </c>
      <c r="H16" s="72">
        <v>500</v>
      </c>
    </row>
    <row r="17" spans="3:8" s="80" customFormat="1" x14ac:dyDescent="0.2">
      <c r="F17" s="62">
        <v>2</v>
      </c>
      <c r="G17" s="62" t="s">
        <v>117</v>
      </c>
      <c r="H17" s="72">
        <v>600</v>
      </c>
    </row>
    <row r="18" spans="3:8" s="80" customFormat="1" x14ac:dyDescent="0.2">
      <c r="F18" s="62">
        <v>2</v>
      </c>
      <c r="G18" s="62" t="s">
        <v>118</v>
      </c>
      <c r="H18" s="72">
        <v>700</v>
      </c>
    </row>
    <row r="19" spans="3:8" x14ac:dyDescent="0.2">
      <c r="F19" s="62">
        <v>3</v>
      </c>
      <c r="G19" s="62" t="s">
        <v>119</v>
      </c>
      <c r="H19" s="72">
        <v>800</v>
      </c>
    </row>
    <row r="20" spans="3:8" x14ac:dyDescent="0.2">
      <c r="F20" s="62">
        <v>3</v>
      </c>
      <c r="G20" s="62" t="s">
        <v>118</v>
      </c>
      <c r="H20" s="72">
        <v>900</v>
      </c>
    </row>
    <row r="21" spans="3:8" x14ac:dyDescent="0.2">
      <c r="F21" s="62">
        <v>4</v>
      </c>
      <c r="G21" s="62" t="s">
        <v>119</v>
      </c>
      <c r="H21" s="72">
        <v>1000</v>
      </c>
    </row>
    <row r="22" spans="3:8" x14ac:dyDescent="0.2">
      <c r="H22" s="66"/>
    </row>
    <row r="24" spans="3:8" ht="12" customHeight="1" x14ac:dyDescent="0.25">
      <c r="C24" s="4" t="s">
        <v>135</v>
      </c>
    </row>
    <row r="26" spans="3:8" x14ac:dyDescent="0.2">
      <c r="D26" s="71" t="s">
        <v>120</v>
      </c>
      <c r="G26" s="62">
        <v>1</v>
      </c>
    </row>
    <row r="27" spans="3:8" x14ac:dyDescent="0.2">
      <c r="D27" s="71" t="s">
        <v>124</v>
      </c>
      <c r="G27" s="62" t="s">
        <v>118</v>
      </c>
    </row>
    <row r="29" spans="3:8" ht="12.75" thickBot="1" x14ac:dyDescent="0.25">
      <c r="D29" s="71" t="s">
        <v>157</v>
      </c>
      <c r="G29" s="81">
        <f>($F$12=$G$26)*($G$12=$G$27)*IFERROR(N($H$12),)
+($F$13=$G$26)*($G$13=$G$27)*IFERROR(N($H$13),)
+($F$14=$G$26)*($G$14=$G$27)*IFERROR(N($H$14),)
+($F$15=$G$26)*($G$15=$G$27)*IFERROR(N($H$15),)
+($F$16=$G$26)*($G$16=$G$27)*IFERROR(N($H$16),)
+($F$17=$G$26)*($G$17=$G$27)*IFERROR(N($H$17),)
+($F$18=$G$26)*($G$18=$G$27)*IFERROR(N($H$18),)
+($F$19=$G$26)*($G$19=$G$27)*IFERROR(N($H$19),)
+($F$20=$G$26)*($G$20=$G$27)*IFERROR(N($H$20),)
+($F$21=$G$26)*($G$21=$G$27)*IFERROR(N($H$21),)</f>
        <v>300</v>
      </c>
      <c r="H29" s="74" t="str">
        <f ca="1">_xlfn.FORMULATEXT(G29)</f>
        <v>=($F$12=$G$26)*($G$12=$G$27)*IFERROR(N($H$12),)
+($F$13=$G$26)*($G$13=$G$27)*IFERROR(N($H$13),)
+($F$14=$G$26)*($G$14=$G$27)*IFERROR(N($H$14),)
+($F$15=$G$26)*($G$15=$G$27)*IFERROR(N($H$15),)
+($F$16=$G$26)*($G$16=$G$27)*IFERROR(N($H$16),)
+($F$17=$G$26)*($G$17=$G$27)*IFERROR(N($H$17),)
+($F$18=$G$26)*($G$18=$G$27)*IFERROR(N($H$18),)
+($F$19=$G$26)*($G$19=$G$27)*IFERROR(N($H$19),)
+($F$20=$G$26)*($G$20=$G$27)*IFERROR(N($H$20),)
+($F$21=$G$26)*($G$21=$G$27)*IFERROR(N($H$21),)</v>
      </c>
    </row>
    <row r="30" spans="3:8" ht="12.75" thickTop="1" x14ac:dyDescent="0.2"/>
    <row r="31" spans="3:8" s="80" customFormat="1" ht="12.75" thickBot="1" x14ac:dyDescent="0.25">
      <c r="D31" s="80" t="s">
        <v>156</v>
      </c>
      <c r="G31" s="81">
        <f>SUMIFS($H$12:$H$21,$F$12:$F$21,$G$26,$G$12:$G$21,$G$27,$H$12:$H$21,"&lt;&gt;#N/A")</f>
        <v>300</v>
      </c>
      <c r="H31" s="74" t="str">
        <f ca="1">_xlfn.FORMULATEXT(G31)</f>
        <v>=SUMIFS($H$12:$H$21,$F$12:$F$21,$G$26,$G$12:$G$21,$G$27,$H$12:$H$21,"&lt;&gt;#N/A")</v>
      </c>
    </row>
    <row r="32" spans="3:8" s="80" customFormat="1" ht="12.75" thickTop="1" x14ac:dyDescent="0.2"/>
    <row r="33" spans="4:8" ht="12.75" thickBot="1" x14ac:dyDescent="0.25">
      <c r="D33" s="71" t="s">
        <v>158</v>
      </c>
      <c r="G33" s="81">
        <f t="array" ref="G33">SUMPRODUCT(IF(NOT(ISNUMBER($H$12:$H$21)),,$H$12:$H$21)*($F$12:$F$21=$G$26)*($G$12:$G$21=G27)*1)</f>
        <v>300</v>
      </c>
      <c r="H33" s="74" t="str">
        <f ca="1">_xlfn.FORMULATEXT(G33)</f>
        <v>{=SUMPRODUCT(IF(NOT(ISNUMBER($H$12:$H$21)),,$H$12:$H$21)*($F$12:$F$21=$G$26)*($G$12:$G$21=G27)*1)}</v>
      </c>
    </row>
    <row r="34" spans="4:8" ht="12.75" thickTop="1" x14ac:dyDescent="0.2"/>
  </sheetData>
  <conditionalFormatting sqref="F12:H21">
    <cfRule type="expression" dxfId="0" priority="1">
      <formula>AND($F12=$G$26,$G12=$G$27)</formula>
    </cfRule>
  </conditionalFormatting>
  <dataValidations disablePrompts="1" count="2">
    <dataValidation type="list" allowBlank="1" showInputMessage="1" showErrorMessage="1" sqref="G27 G12:G21" xr:uid="{4BDA672B-D4F4-49C1-93DB-167D043777F0}">
      <formula1>LI_ProductTypes</formula1>
    </dataValidation>
    <dataValidation type="list" allowBlank="1" showInputMessage="1" showErrorMessage="1" sqref="G26 F12:F21" xr:uid="{20F85500-5A4E-4462-A159-C40A82BB90A8}">
      <formula1>LI_BusinessUnits</formula1>
    </dataValidation>
  </dataValidations>
  <hyperlinks>
    <hyperlink ref="A3" location="HL_Navigator" display="Navigator" xr:uid="{58DA0A6B-83E1-46A2-B505-8475261A4832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4A41-E48E-498E-8B4D-683358492763}">
  <sheetPr codeName="Sheet24"/>
  <dimension ref="A1:V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7" max="7" width="22.85546875" customWidth="1"/>
    <col min="8" max="8" width="11.42578125" customWidth="1"/>
    <col min="9" max="9" width="13.7109375" customWidth="1"/>
    <col min="10" max="10" width="14.85546875" customWidth="1"/>
    <col min="11" max="11" width="14.7109375" customWidth="1"/>
    <col min="12" max="12" width="13.7109375" customWidth="1"/>
    <col min="13" max="13" width="13.85546875" customWidth="1"/>
    <col min="14" max="14" width="13.140625" customWidth="1"/>
    <col min="15" max="15" width="14" customWidth="1"/>
  </cols>
  <sheetData>
    <row r="1" spans="1:22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Comprehensive Example</v>
      </c>
    </row>
    <row r="2" spans="1:22" ht="18" x14ac:dyDescent="0.25">
      <c r="A2" s="49" t="str">
        <f ca="1">Model_Name</f>
        <v>Chapter 2.1 - SP Multiple Criteria Examples with Comprehensive Example.xlsx</v>
      </c>
    </row>
    <row r="3" spans="1:22" x14ac:dyDescent="0.2">
      <c r="A3" s="109" t="s">
        <v>1</v>
      </c>
    </row>
    <row r="6" spans="1:22" ht="16.5" thickBot="1" x14ac:dyDescent="0.3">
      <c r="B6" s="50">
        <f>MAX($B5:$B$5)+1</f>
        <v>1</v>
      </c>
      <c r="C6" s="50" t="s">
        <v>220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2.75" thickTop="1" x14ac:dyDescent="0.2"/>
    <row r="8" spans="1:22" ht="16.5" x14ac:dyDescent="0.25">
      <c r="C8" s="67" t="s">
        <v>221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22" x14ac:dyDescent="0.2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22" ht="15" x14ac:dyDescent="0.25">
      <c r="C10" s="106"/>
      <c r="D10" s="4" t="s">
        <v>222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22" x14ac:dyDescent="0.2"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22" x14ac:dyDescent="0.2">
      <c r="C12" s="106"/>
      <c r="D12" s="106"/>
      <c r="E12" s="95" t="s">
        <v>223</v>
      </c>
      <c r="F12" s="106"/>
    </row>
    <row r="13" spans="1:22" x14ac:dyDescent="0.2">
      <c r="C13" s="106"/>
      <c r="D13" s="106"/>
      <c r="E13" s="106"/>
      <c r="F13" s="106"/>
    </row>
    <row r="14" spans="1:22" ht="24" x14ac:dyDescent="0.2">
      <c r="C14" s="106"/>
      <c r="D14" s="106"/>
      <c r="E14" s="106"/>
      <c r="F14" s="106"/>
      <c r="G14" s="110" t="s">
        <v>184</v>
      </c>
      <c r="H14" s="110" t="s">
        <v>185</v>
      </c>
      <c r="I14" s="111" t="s">
        <v>186</v>
      </c>
      <c r="J14" s="111" t="s">
        <v>187</v>
      </c>
      <c r="K14" s="111" t="s">
        <v>188</v>
      </c>
      <c r="L14" s="111" t="s">
        <v>189</v>
      </c>
      <c r="M14" s="111" t="s">
        <v>190</v>
      </c>
      <c r="N14" s="111" t="s">
        <v>191</v>
      </c>
      <c r="O14" s="111" t="s">
        <v>192</v>
      </c>
    </row>
    <row r="15" spans="1:22" x14ac:dyDescent="0.2">
      <c r="C15" s="106"/>
      <c r="D15" s="106"/>
      <c r="E15" s="106"/>
      <c r="F15" s="106"/>
      <c r="G15" s="24" t="s">
        <v>193</v>
      </c>
      <c r="H15" s="24" t="s">
        <v>194</v>
      </c>
      <c r="I15" s="115">
        <v>80</v>
      </c>
      <c r="J15" s="121">
        <v>4</v>
      </c>
      <c r="K15" s="121">
        <v>1.5</v>
      </c>
      <c r="L15" s="121">
        <v>6</v>
      </c>
      <c r="M15" s="121">
        <v>3</v>
      </c>
      <c r="N15" s="115">
        <v>480</v>
      </c>
      <c r="O15" s="115">
        <v>250</v>
      </c>
    </row>
    <row r="16" spans="1:22" x14ac:dyDescent="0.2">
      <c r="C16" s="106"/>
      <c r="D16" s="106"/>
      <c r="E16" s="106"/>
      <c r="F16" s="106"/>
      <c r="G16" s="24" t="s">
        <v>195</v>
      </c>
      <c r="H16" s="24" t="s">
        <v>196</v>
      </c>
      <c r="I16" s="115">
        <v>45</v>
      </c>
      <c r="J16" s="121">
        <v>3</v>
      </c>
      <c r="K16" s="121">
        <v>0.5</v>
      </c>
      <c r="L16" s="121">
        <v>1</v>
      </c>
      <c r="M16" s="121">
        <v>3</v>
      </c>
      <c r="N16" s="115">
        <v>280</v>
      </c>
      <c r="O16" s="115">
        <v>200</v>
      </c>
    </row>
    <row r="17" spans="3:16" x14ac:dyDescent="0.2">
      <c r="G17" s="24" t="s">
        <v>197</v>
      </c>
      <c r="H17" s="24" t="s">
        <v>196</v>
      </c>
      <c r="I17" s="115">
        <v>50</v>
      </c>
      <c r="J17" s="121">
        <v>3.5</v>
      </c>
      <c r="K17" s="121">
        <v>0.5</v>
      </c>
      <c r="L17" s="121">
        <v>0</v>
      </c>
      <c r="M17" s="121">
        <v>1</v>
      </c>
      <c r="N17" s="115">
        <v>1350</v>
      </c>
      <c r="O17" s="115">
        <v>100</v>
      </c>
    </row>
    <row r="18" spans="3:16" x14ac:dyDescent="0.2">
      <c r="G18" s="24" t="s">
        <v>198</v>
      </c>
      <c r="H18" s="24" t="s">
        <v>194</v>
      </c>
      <c r="I18" s="115">
        <v>150</v>
      </c>
      <c r="J18" s="121">
        <v>5</v>
      </c>
      <c r="K18" s="121">
        <v>0.75</v>
      </c>
      <c r="L18" s="121">
        <v>2</v>
      </c>
      <c r="M18" s="121">
        <v>3</v>
      </c>
      <c r="N18" s="115">
        <v>400</v>
      </c>
      <c r="O18" s="115">
        <v>350</v>
      </c>
    </row>
    <row r="20" spans="3:16" x14ac:dyDescent="0.2">
      <c r="E20" s="95" t="s">
        <v>199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3:16" x14ac:dyDescent="0.2">
      <c r="E21" s="106"/>
      <c r="F21" s="106"/>
      <c r="G21" s="106"/>
      <c r="H21" s="106"/>
      <c r="I21" s="106"/>
      <c r="J21" s="98" t="s">
        <v>200</v>
      </c>
      <c r="K21" s="98" t="s">
        <v>200</v>
      </c>
      <c r="L21" s="98" t="s">
        <v>200</v>
      </c>
      <c r="M21" s="98" t="s">
        <v>200</v>
      </c>
      <c r="N21" s="98" t="s">
        <v>201</v>
      </c>
      <c r="O21" s="98" t="s">
        <v>201</v>
      </c>
      <c r="P21" s="106"/>
    </row>
    <row r="22" spans="3:16" x14ac:dyDescent="0.2">
      <c r="E22" s="106"/>
      <c r="F22" s="106"/>
      <c r="G22" s="106" t="s">
        <v>202</v>
      </c>
      <c r="H22" s="106"/>
      <c r="I22" s="106"/>
      <c r="J22" s="117">
        <v>87</v>
      </c>
      <c r="K22" s="117">
        <v>685</v>
      </c>
      <c r="L22" s="117">
        <v>19</v>
      </c>
      <c r="M22" s="117">
        <v>23</v>
      </c>
      <c r="N22" s="117">
        <v>1</v>
      </c>
      <c r="O22" s="117">
        <v>1</v>
      </c>
    </row>
    <row r="23" spans="3:16" x14ac:dyDescent="0.2">
      <c r="E23" s="106"/>
      <c r="F23" s="106"/>
    </row>
    <row r="25" spans="3:16" ht="16.5" x14ac:dyDescent="0.25">
      <c r="C25" s="67" t="s">
        <v>225</v>
      </c>
    </row>
    <row r="27" spans="3:16" x14ac:dyDescent="0.2">
      <c r="E27" s="95" t="s">
        <v>223</v>
      </c>
    </row>
    <row r="29" spans="3:16" ht="24" x14ac:dyDescent="0.2">
      <c r="G29" s="110" t="s">
        <v>184</v>
      </c>
      <c r="H29" s="110" t="s">
        <v>185</v>
      </c>
      <c r="I29" s="111" t="s">
        <v>186</v>
      </c>
      <c r="J29" s="111" t="s">
        <v>187</v>
      </c>
      <c r="K29" s="111" t="s">
        <v>188</v>
      </c>
      <c r="L29" s="111" t="s">
        <v>189</v>
      </c>
      <c r="M29" s="111" t="s">
        <v>190</v>
      </c>
      <c r="N29" s="111" t="s">
        <v>191</v>
      </c>
      <c r="O29" s="111" t="s">
        <v>192</v>
      </c>
    </row>
    <row r="30" spans="3:16" x14ac:dyDescent="0.2">
      <c r="G30" t="str">
        <f>G15</f>
        <v>Transaction account</v>
      </c>
      <c r="H30" s="106" t="str">
        <f t="shared" ref="H30:O30" si="0">H15</f>
        <v>Standard</v>
      </c>
      <c r="I30" s="38">
        <f t="shared" si="0"/>
        <v>80</v>
      </c>
      <c r="J30" s="119">
        <f t="shared" si="0"/>
        <v>4</v>
      </c>
      <c r="K30" s="119">
        <f t="shared" si="0"/>
        <v>1.5</v>
      </c>
      <c r="L30" s="119">
        <f t="shared" si="0"/>
        <v>6</v>
      </c>
      <c r="M30" s="119">
        <f t="shared" si="0"/>
        <v>3</v>
      </c>
      <c r="N30" s="38">
        <f t="shared" si="0"/>
        <v>480</v>
      </c>
      <c r="O30" s="38">
        <f t="shared" si="0"/>
        <v>250</v>
      </c>
    </row>
    <row r="31" spans="3:16" x14ac:dyDescent="0.2">
      <c r="G31" s="106" t="str">
        <f t="shared" ref="G31:O31" si="1">G16</f>
        <v>Savings account</v>
      </c>
      <c r="H31" s="106" t="str">
        <f t="shared" si="1"/>
        <v>Budget</v>
      </c>
      <c r="I31" s="38">
        <f t="shared" si="1"/>
        <v>45</v>
      </c>
      <c r="J31" s="119">
        <f t="shared" si="1"/>
        <v>3</v>
      </c>
      <c r="K31" s="119">
        <f t="shared" si="1"/>
        <v>0.5</v>
      </c>
      <c r="L31" s="119">
        <f t="shared" si="1"/>
        <v>1</v>
      </c>
      <c r="M31" s="119">
        <f t="shared" si="1"/>
        <v>3</v>
      </c>
      <c r="N31" s="38">
        <f t="shared" si="1"/>
        <v>280</v>
      </c>
      <c r="O31" s="38">
        <f t="shared" si="1"/>
        <v>200</v>
      </c>
    </row>
    <row r="32" spans="3:16" x14ac:dyDescent="0.2">
      <c r="G32" s="106" t="str">
        <f t="shared" ref="G32:O32" si="2">G17</f>
        <v>Credit card</v>
      </c>
      <c r="H32" s="106" t="str">
        <f t="shared" si="2"/>
        <v>Budget</v>
      </c>
      <c r="I32" s="38">
        <f t="shared" si="2"/>
        <v>50</v>
      </c>
      <c r="J32" s="119">
        <f t="shared" si="2"/>
        <v>3.5</v>
      </c>
      <c r="K32" s="119">
        <f t="shared" si="2"/>
        <v>0.5</v>
      </c>
      <c r="L32" s="119">
        <f t="shared" si="2"/>
        <v>0</v>
      </c>
      <c r="M32" s="119">
        <f t="shared" si="2"/>
        <v>1</v>
      </c>
      <c r="N32" s="38">
        <f t="shared" si="2"/>
        <v>1350</v>
      </c>
      <c r="O32" s="38">
        <f t="shared" si="2"/>
        <v>100</v>
      </c>
    </row>
    <row r="33" spans="5:15" ht="12.75" thickBot="1" x14ac:dyDescent="0.25">
      <c r="G33" s="106" t="str">
        <f t="shared" ref="G33:O33" si="3">G18</f>
        <v>Mortgage</v>
      </c>
      <c r="H33" s="106" t="str">
        <f t="shared" si="3"/>
        <v>Standard</v>
      </c>
      <c r="I33" s="38">
        <f t="shared" si="3"/>
        <v>150</v>
      </c>
      <c r="J33" s="119">
        <f t="shared" si="3"/>
        <v>5</v>
      </c>
      <c r="K33" s="119">
        <f t="shared" si="3"/>
        <v>0.75</v>
      </c>
      <c r="L33" s="119">
        <f t="shared" si="3"/>
        <v>2</v>
      </c>
      <c r="M33" s="119">
        <f t="shared" si="3"/>
        <v>3</v>
      </c>
      <c r="N33" s="38">
        <f t="shared" si="3"/>
        <v>400</v>
      </c>
      <c r="O33" s="38">
        <f t="shared" si="3"/>
        <v>350</v>
      </c>
    </row>
    <row r="34" spans="5:15" ht="12.75" thickBot="1" x14ac:dyDescent="0.25">
      <c r="G34" s="95" t="s">
        <v>226</v>
      </c>
      <c r="I34" s="120">
        <f>SUM(I30:I33)</f>
        <v>325</v>
      </c>
      <c r="J34" s="123" cm="1">
        <f t="array" ref="J34">SUMPRODUCT($I$30:$I$33*J$30:J$33)</f>
        <v>1380</v>
      </c>
      <c r="K34" s="120" cm="1">
        <f t="array" ref="K34">SUMPRODUCT($I$30:$I$33*K$30:K$33)</f>
        <v>280</v>
      </c>
      <c r="L34" s="120" cm="1">
        <f t="array" ref="L34">SUMPRODUCT($I$30:$I$33*L$30:L$33)</f>
        <v>825</v>
      </c>
      <c r="M34" s="120" cm="1">
        <f t="array" ref="M34">SUMPRODUCT($I$30:$I$33*M$30:M$33)</f>
        <v>875</v>
      </c>
      <c r="N34" s="120" cm="1">
        <f t="array" ref="N34">SUMPRODUCT($I$30:$I$33*N$30:N$33)</f>
        <v>178500</v>
      </c>
      <c r="O34" s="120" cm="1">
        <f t="array" ref="O34">SUMPRODUCT($I$30:$I$33*O$30:O$33)</f>
        <v>86500</v>
      </c>
    </row>
    <row r="36" spans="5:15" s="106" customFormat="1" x14ac:dyDescent="0.2">
      <c r="J36" s="22" t="str">
        <f ca="1">_xlfn.FORMULATEXT(J34)</f>
        <v>=SUMPRODUCT($I$30:$I$33*J$30:J$33)</v>
      </c>
    </row>
    <row r="37" spans="5:15" s="106" customFormat="1" x14ac:dyDescent="0.2"/>
    <row r="39" spans="5:15" x14ac:dyDescent="0.2">
      <c r="E39" s="95" t="s">
        <v>203</v>
      </c>
    </row>
    <row r="40" spans="5:15" ht="12.75" thickBot="1" x14ac:dyDescent="0.25">
      <c r="I40" s="108" t="s">
        <v>204</v>
      </c>
      <c r="J40" s="108" t="s">
        <v>196</v>
      </c>
      <c r="K40" s="108" t="s">
        <v>194</v>
      </c>
    </row>
    <row r="41" spans="5:15" ht="12.75" thickBot="1" x14ac:dyDescent="0.25">
      <c r="H41" s="107" t="s">
        <v>205</v>
      </c>
      <c r="I41" s="123" cm="1">
        <f t="array" ref="I41">SUMPRODUCT($I$30:$I$33*$J$30:$O$33*$J$22:$O$22)</f>
        <v>612660</v>
      </c>
      <c r="J41" s="122" cm="1">
        <f t="array" ref="J41">SUMPRODUCT($I$30:$I$33*$J$30:$O$33*$J$22:$O$22*($H$30:$H$33=J$40))</f>
        <v>158717.5</v>
      </c>
      <c r="K41" s="122" cm="1">
        <f t="array" ref="K41">SUMPRODUCT($I$30:$I$33*$J$30:$O$33*$J$22:$O$22*($H$30:$H$33=K$40))</f>
        <v>453942.5</v>
      </c>
    </row>
    <row r="42" spans="5:15" x14ac:dyDescent="0.2">
      <c r="H42" s="106" t="s">
        <v>206</v>
      </c>
      <c r="I42" s="122">
        <f>SUM(J42:K42)</f>
        <v>325</v>
      </c>
      <c r="J42" s="38" cm="1">
        <f t="array" ref="J42">SUMPRODUCT(--($H$15:$H$18=J$40)*($I$15:$I$18))</f>
        <v>95</v>
      </c>
      <c r="K42" s="38" cm="1">
        <f t="array" ref="K42">SUMPRODUCT(--($H$15:$H$18=K$40)*($I$15:$I$18))</f>
        <v>230</v>
      </c>
    </row>
    <row r="43" spans="5:15" x14ac:dyDescent="0.2">
      <c r="H43" s="106" t="s">
        <v>207</v>
      </c>
      <c r="I43" s="120">
        <f>I41/I42</f>
        <v>1885.1076923076923</v>
      </c>
      <c r="J43" s="120">
        <f t="shared" ref="J43:K43" si="4">J41/J42</f>
        <v>1670.7105263157894</v>
      </c>
      <c r="K43" s="120">
        <f t="shared" si="4"/>
        <v>1973.6630434782608</v>
      </c>
    </row>
    <row r="45" spans="5:15" x14ac:dyDescent="0.2">
      <c r="I45" s="22" t="str">
        <f ca="1">_xlfn.FORMULATEXT(I41)</f>
        <v>=SUMPRODUCT($I$30:$I$33*$J$30:$O$33*$J$22:$O$22)</v>
      </c>
    </row>
  </sheetData>
  <hyperlinks>
    <hyperlink ref="A3" location="HL_Navigator" display="Navigator" xr:uid="{05EF2D96-2B92-4DEB-9AD9-7871ACFA2A19}"/>
  </hyperlinks>
  <pageMargins left="0.7" right="0.7" top="0.75" bottom="0.75" header="0.3" footer="0.3"/>
  <pageSetup paperSize="9" orientation="portrait" r:id="rId1"/>
  <ignoredErrors>
    <ignoredError sqref="J30" evalErro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F699-79E9-4B56-82D7-B81702105780}">
  <sheetPr codeName="Sheet25"/>
  <dimension ref="A1:V41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style="106" customWidth="1"/>
    <col min="6" max="6" width="9" style="106"/>
    <col min="7" max="7" width="22.85546875" style="106" customWidth="1"/>
    <col min="8" max="8" width="9" style="106"/>
    <col min="9" max="9" width="13.7109375" style="106" customWidth="1"/>
    <col min="10" max="10" width="14.85546875" style="106" customWidth="1"/>
    <col min="11" max="11" width="14.7109375" style="106" customWidth="1"/>
    <col min="12" max="12" width="13.7109375" style="106" customWidth="1"/>
    <col min="13" max="13" width="13.85546875" style="106" customWidth="1"/>
    <col min="14" max="14" width="13.140625" style="106" customWidth="1"/>
    <col min="15" max="15" width="14" style="106" customWidth="1"/>
    <col min="16" max="16384" width="9" style="106"/>
  </cols>
  <sheetData>
    <row r="1" spans="1:22" ht="20.25" x14ac:dyDescent="0.3">
      <c r="A1" s="48" t="str">
        <f ca="1">IF(ISERROR(RIGHT(CELL("filename",A1),LEN(CELL("filename",A1))-FIND("]",CELL("filename",A1)))),
"",
RIGHT(CELL("filename",A1),LEN(CELL("filename",A1))-FIND("]",CELL("filename",A1))))</f>
        <v>Comprehensive Example_ERROR</v>
      </c>
    </row>
    <row r="2" spans="1:22" ht="18" x14ac:dyDescent="0.25">
      <c r="A2" s="49" t="str">
        <f ca="1">Model_Name</f>
        <v>Chapter 2.1 - SP Multiple Criteria Examples with Comprehensive Example.xlsx</v>
      </c>
    </row>
    <row r="3" spans="1:22" x14ac:dyDescent="0.2">
      <c r="A3" s="109" t="s">
        <v>1</v>
      </c>
    </row>
    <row r="6" spans="1:22" ht="16.5" thickBot="1" x14ac:dyDescent="0.3">
      <c r="B6" s="50">
        <f>MAX($B5:$B$5)+1</f>
        <v>1</v>
      </c>
      <c r="C6" s="50" t="s">
        <v>229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2.75" thickTop="1" x14ac:dyDescent="0.2"/>
    <row r="8" spans="1:22" ht="16.5" x14ac:dyDescent="0.25">
      <c r="C8" s="67" t="s">
        <v>221</v>
      </c>
    </row>
    <row r="10" spans="1:22" ht="15" x14ac:dyDescent="0.25">
      <c r="D10" s="4" t="s">
        <v>222</v>
      </c>
    </row>
    <row r="12" spans="1:22" x14ac:dyDescent="0.2">
      <c r="E12" s="95" t="s">
        <v>223</v>
      </c>
    </row>
    <row r="14" spans="1:22" ht="24" x14ac:dyDescent="0.2">
      <c r="G14" s="110" t="s">
        <v>184</v>
      </c>
      <c r="H14" s="110" t="s">
        <v>185</v>
      </c>
      <c r="I14" s="111" t="s">
        <v>186</v>
      </c>
      <c r="J14" s="111" t="s">
        <v>187</v>
      </c>
      <c r="K14" s="111" t="s">
        <v>188</v>
      </c>
      <c r="L14" s="111" t="s">
        <v>189</v>
      </c>
      <c r="M14" s="111" t="s">
        <v>190</v>
      </c>
      <c r="N14" s="111" t="s">
        <v>191</v>
      </c>
      <c r="O14" s="111" t="s">
        <v>192</v>
      </c>
    </row>
    <row r="15" spans="1:22" x14ac:dyDescent="0.2">
      <c r="G15" s="24" t="s">
        <v>193</v>
      </c>
      <c r="H15" s="24" t="s">
        <v>194</v>
      </c>
      <c r="I15" s="112">
        <v>80</v>
      </c>
      <c r="J15" s="113" t="e">
        <f>NA()</f>
        <v>#N/A</v>
      </c>
      <c r="K15" s="114">
        <v>1.5</v>
      </c>
      <c r="L15" s="114">
        <v>6</v>
      </c>
      <c r="M15" s="114">
        <v>3</v>
      </c>
      <c r="N15" s="115">
        <v>480</v>
      </c>
      <c r="O15" s="115">
        <v>250</v>
      </c>
    </row>
    <row r="16" spans="1:22" x14ac:dyDescent="0.2">
      <c r="G16" s="24" t="s">
        <v>195</v>
      </c>
      <c r="H16" s="24" t="s">
        <v>196</v>
      </c>
      <c r="I16" s="112">
        <v>45</v>
      </c>
      <c r="J16" s="114">
        <v>3</v>
      </c>
      <c r="K16" s="116" t="s">
        <v>224</v>
      </c>
      <c r="L16" s="114">
        <v>1</v>
      </c>
      <c r="M16" s="114">
        <v>3</v>
      </c>
      <c r="N16" s="115">
        <v>280</v>
      </c>
      <c r="O16" s="115">
        <v>200</v>
      </c>
    </row>
    <row r="17" spans="3:15" x14ac:dyDescent="0.2">
      <c r="G17" s="24" t="s">
        <v>197</v>
      </c>
      <c r="H17" s="24" t="s">
        <v>196</v>
      </c>
      <c r="I17" s="112">
        <v>50</v>
      </c>
      <c r="J17" s="114">
        <v>3.5</v>
      </c>
      <c r="K17" s="114">
        <v>0.5</v>
      </c>
      <c r="L17" s="114">
        <v>0</v>
      </c>
      <c r="M17" s="114">
        <v>1</v>
      </c>
      <c r="N17" s="115">
        <v>1350</v>
      </c>
      <c r="O17" s="115">
        <v>100</v>
      </c>
    </row>
    <row r="18" spans="3:15" x14ac:dyDescent="0.2">
      <c r="G18" s="24" t="s">
        <v>198</v>
      </c>
      <c r="H18" s="24" t="s">
        <v>194</v>
      </c>
      <c r="I18" s="112">
        <v>150</v>
      </c>
      <c r="J18" s="114">
        <v>5</v>
      </c>
      <c r="K18" s="114">
        <v>0.75</v>
      </c>
      <c r="L18" s="114">
        <v>2</v>
      </c>
      <c r="M18" s="113" t="e">
        <f>#REF!</f>
        <v>#REF!</v>
      </c>
      <c r="N18" s="115">
        <v>400</v>
      </c>
      <c r="O18" s="115">
        <v>350</v>
      </c>
    </row>
    <row r="20" spans="3:15" x14ac:dyDescent="0.2">
      <c r="E20" s="95" t="s">
        <v>199</v>
      </c>
    </row>
    <row r="21" spans="3:15" x14ac:dyDescent="0.2">
      <c r="J21" s="98" t="s">
        <v>200</v>
      </c>
      <c r="K21" s="98" t="s">
        <v>200</v>
      </c>
      <c r="L21" s="98" t="s">
        <v>200</v>
      </c>
      <c r="M21" s="98" t="s">
        <v>200</v>
      </c>
      <c r="N21" s="98" t="s">
        <v>201</v>
      </c>
      <c r="O21" s="98" t="s">
        <v>201</v>
      </c>
    </row>
    <row r="22" spans="3:15" x14ac:dyDescent="0.2">
      <c r="G22" s="106" t="s">
        <v>202</v>
      </c>
      <c r="J22" s="117">
        <v>87</v>
      </c>
      <c r="K22" s="117">
        <v>685</v>
      </c>
      <c r="L22" s="117">
        <v>19</v>
      </c>
      <c r="M22" s="117">
        <v>23</v>
      </c>
      <c r="N22" s="117">
        <v>1</v>
      </c>
      <c r="O22" s="117">
        <v>1</v>
      </c>
    </row>
    <row r="25" spans="3:15" ht="16.5" x14ac:dyDescent="0.25">
      <c r="C25" s="67" t="s">
        <v>225</v>
      </c>
    </row>
    <row r="27" spans="3:15" x14ac:dyDescent="0.2">
      <c r="E27" s="95" t="s">
        <v>223</v>
      </c>
    </row>
    <row r="29" spans="3:15" ht="24" x14ac:dyDescent="0.2">
      <c r="G29" s="110" t="s">
        <v>184</v>
      </c>
      <c r="H29" s="110" t="s">
        <v>185</v>
      </c>
      <c r="I29" s="111" t="s">
        <v>186</v>
      </c>
      <c r="J29" s="111" t="s">
        <v>187</v>
      </c>
      <c r="K29" s="111" t="s">
        <v>188</v>
      </c>
      <c r="L29" s="111" t="s">
        <v>189</v>
      </c>
      <c r="M29" s="111" t="s">
        <v>190</v>
      </c>
      <c r="N29" s="111" t="s">
        <v>191</v>
      </c>
      <c r="O29" s="111" t="s">
        <v>192</v>
      </c>
    </row>
    <row r="30" spans="3:15" x14ac:dyDescent="0.2">
      <c r="G30" s="106" t="str">
        <f>G15</f>
        <v>Transaction account</v>
      </c>
      <c r="H30" s="106" t="str">
        <f t="shared" ref="H30:O30" si="0">H15</f>
        <v>Standard</v>
      </c>
      <c r="I30" s="38">
        <f t="shared" si="0"/>
        <v>80</v>
      </c>
      <c r="J30" s="106" t="e">
        <f t="shared" si="0"/>
        <v>#N/A</v>
      </c>
      <c r="K30" s="119">
        <f t="shared" si="0"/>
        <v>1.5</v>
      </c>
      <c r="L30" s="119">
        <f t="shared" si="0"/>
        <v>6</v>
      </c>
      <c r="M30" s="119">
        <f t="shared" si="0"/>
        <v>3</v>
      </c>
      <c r="N30" s="38">
        <f t="shared" si="0"/>
        <v>480</v>
      </c>
      <c r="O30" s="38">
        <f t="shared" si="0"/>
        <v>250</v>
      </c>
    </row>
    <row r="31" spans="3:15" x14ac:dyDescent="0.2">
      <c r="G31" s="106" t="str">
        <f t="shared" ref="G31:O33" si="1">G16</f>
        <v>Savings account</v>
      </c>
      <c r="H31" s="106" t="str">
        <f t="shared" si="1"/>
        <v>Budget</v>
      </c>
      <c r="I31" s="38">
        <f t="shared" si="1"/>
        <v>45</v>
      </c>
      <c r="J31" s="119">
        <f t="shared" si="1"/>
        <v>3</v>
      </c>
      <c r="K31" s="75" t="str">
        <f t="shared" si="1"/>
        <v>???</v>
      </c>
      <c r="L31" s="119">
        <f t="shared" si="1"/>
        <v>1</v>
      </c>
      <c r="M31" s="119">
        <f t="shared" si="1"/>
        <v>3</v>
      </c>
      <c r="N31" s="38">
        <f t="shared" si="1"/>
        <v>280</v>
      </c>
      <c r="O31" s="38">
        <f t="shared" si="1"/>
        <v>200</v>
      </c>
    </row>
    <row r="32" spans="3:15" x14ac:dyDescent="0.2">
      <c r="G32" s="106" t="str">
        <f t="shared" si="1"/>
        <v>Credit card</v>
      </c>
      <c r="H32" s="106" t="str">
        <f t="shared" si="1"/>
        <v>Budget</v>
      </c>
      <c r="I32" s="38">
        <f t="shared" si="1"/>
        <v>50</v>
      </c>
      <c r="J32" s="119">
        <f t="shared" si="1"/>
        <v>3.5</v>
      </c>
      <c r="K32" s="119">
        <f t="shared" si="1"/>
        <v>0.5</v>
      </c>
      <c r="L32" s="119">
        <f t="shared" si="1"/>
        <v>0</v>
      </c>
      <c r="M32" s="119">
        <f t="shared" si="1"/>
        <v>1</v>
      </c>
      <c r="N32" s="38">
        <f t="shared" si="1"/>
        <v>1350</v>
      </c>
      <c r="O32" s="38">
        <f t="shared" si="1"/>
        <v>100</v>
      </c>
    </row>
    <row r="33" spans="5:15" x14ac:dyDescent="0.2">
      <c r="G33" s="106" t="str">
        <f t="shared" si="1"/>
        <v>Mortgage</v>
      </c>
      <c r="H33" s="106" t="str">
        <f t="shared" si="1"/>
        <v>Standard</v>
      </c>
      <c r="I33" s="38">
        <f t="shared" si="1"/>
        <v>150</v>
      </c>
      <c r="J33" s="119">
        <f t="shared" si="1"/>
        <v>5</v>
      </c>
      <c r="K33" s="119">
        <f t="shared" si="1"/>
        <v>0.75</v>
      </c>
      <c r="L33" s="119">
        <f t="shared" si="1"/>
        <v>2</v>
      </c>
      <c r="M33" s="106" t="e">
        <f t="shared" si="1"/>
        <v>#REF!</v>
      </c>
      <c r="N33" s="38">
        <f t="shared" si="1"/>
        <v>400</v>
      </c>
      <c r="O33" s="38">
        <f t="shared" si="1"/>
        <v>350</v>
      </c>
    </row>
    <row r="34" spans="5:15" x14ac:dyDescent="0.2">
      <c r="G34" s="95" t="s">
        <v>226</v>
      </c>
      <c r="I34" s="120">
        <f>SUM(I30:I33)</f>
        <v>325</v>
      </c>
      <c r="J34" s="118" t="e">
        <f t="shared" ref="J34:O34" si="2">SUM(J30:J33)</f>
        <v>#N/A</v>
      </c>
      <c r="K34" s="126">
        <f t="shared" si="2"/>
        <v>2.75</v>
      </c>
      <c r="L34" s="126">
        <f t="shared" si="2"/>
        <v>9</v>
      </c>
      <c r="M34" s="118" t="e">
        <f t="shared" si="2"/>
        <v>#REF!</v>
      </c>
      <c r="N34" s="120">
        <f t="shared" si="2"/>
        <v>2510</v>
      </c>
      <c r="O34" s="120">
        <f t="shared" si="2"/>
        <v>900</v>
      </c>
    </row>
    <row r="37" spans="5:15" x14ac:dyDescent="0.2">
      <c r="E37" s="95" t="s">
        <v>203</v>
      </c>
    </row>
    <row r="38" spans="5:15" ht="12.75" thickBot="1" x14ac:dyDescent="0.25">
      <c r="J38" s="108" t="s">
        <v>196</v>
      </c>
      <c r="K38" s="108" t="s">
        <v>194</v>
      </c>
    </row>
    <row r="39" spans="5:15" ht="12.75" thickBot="1" x14ac:dyDescent="0.25">
      <c r="I39" s="107" t="s">
        <v>205</v>
      </c>
      <c r="J39" s="123">
        <f t="array" ref="J39">SUMPRODUCT($I$30:$I$33 * IF(NOT(ISNUMBER($J$30:$O$33)), , $J$30:$O$33) * $J$22:$O$22 * ($H$30:$H$33=J$38))</f>
        <v>143305</v>
      </c>
      <c r="K39" s="125">
        <f t="array" ref="K39">SUMPRODUCT($I$30:$I$33 * IF(NOT(ISNUMBER($J$30:$O$33)), , $J$30:$O$33) * $J$22:$O$22 * ($H$30:$H$33=K$38))</f>
        <v>415752.5</v>
      </c>
    </row>
    <row r="40" spans="5:15" x14ac:dyDescent="0.2">
      <c r="I40" s="106" t="s">
        <v>206</v>
      </c>
      <c r="J40" s="38" cm="1">
        <f t="array" ref="J40">SUMPRODUCT(--($H$15:$H$18=J$38)*($I$15:$I$18))</f>
        <v>95</v>
      </c>
      <c r="K40" s="38" cm="1">
        <f t="array" ref="K40">SUMPRODUCT(--($H$15:$H$18=K$38)*($I$15:$I$18))</f>
        <v>230</v>
      </c>
    </row>
    <row r="41" spans="5:15" x14ac:dyDescent="0.2">
      <c r="I41" s="106" t="s">
        <v>207</v>
      </c>
      <c r="J41" s="124">
        <f>J39/J40</f>
        <v>1508.4736842105262</v>
      </c>
      <c r="K41" s="124">
        <f>K39/K40</f>
        <v>1807.6195652173913</v>
      </c>
    </row>
  </sheetData>
  <hyperlinks>
    <hyperlink ref="A3" location="HL_Navigator" display="Navigator" xr:uid="{FE42ADD5-6509-4B87-8A44-E64D9BC87689}"/>
  </hyperlinks>
  <pageMargins left="0.7" right="0.7" top="0.75" bottom="0.75" header="0.3" footer="0.3"/>
  <pageSetup paperSize="9" orientation="portrait" r:id="rId1"/>
  <ignoredErrors>
    <ignoredError sqref="M18 J30 J34 M33:M3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5" ma:contentTypeDescription="Create a new document." ma:contentTypeScope="" ma:versionID="fb785c618c48361b49d022074eb345ca">
  <xsd:schema xmlns:xsd="http://www.w3.org/2001/XMLSchema" xmlns:xs="http://www.w3.org/2001/XMLSchema" xmlns:p="http://schemas.microsoft.com/office/2006/metadata/properties" xmlns:ns2="ff58d06b-05e3-4c65-85ba-22cd93c7683f" targetNamespace="http://schemas.microsoft.com/office/2006/metadata/properties" ma:root="true" ma:fieldsID="1d3bca82bad7f978a6eeaef0d2b535b5" ns2:_="">
    <xsd:import namespace="ff58d06b-05e3-4c65-85ba-22cd93c7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6334DC-D189-4E8B-851D-ECE5B0DB1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EFE561-7F9C-4ABC-B729-C0BCD3039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0C889-4478-4A22-BFCF-5531B85C89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46</vt:i4>
      </vt:variant>
    </vt:vector>
  </HeadingPairs>
  <TitlesOfParts>
    <vt:vector size="72" baseType="lpstr">
      <vt:lpstr>Cover</vt:lpstr>
      <vt:lpstr>Navigator</vt:lpstr>
      <vt:lpstr>Style Guide</vt:lpstr>
      <vt:lpstr>Timing</vt:lpstr>
      <vt:lpstr>Model Parameters</vt:lpstr>
      <vt:lpstr>Single _SUMIF_Ex1a</vt:lpstr>
      <vt:lpstr>Single _SUMIF_Ex1b</vt:lpstr>
      <vt:lpstr>Single _SUMIF_Ex_NOT</vt:lpstr>
      <vt:lpstr>SUMIFS_Ex</vt:lpstr>
      <vt:lpstr>AVERAGEIFS</vt:lpstr>
      <vt:lpstr>SUMIFS_Ex (2)</vt:lpstr>
      <vt:lpstr>SUMIFS_Ex (3)</vt:lpstr>
      <vt:lpstr>SUMIFS_Ex (4)</vt:lpstr>
      <vt:lpstr>SUMIFS_Ex (5)</vt:lpstr>
      <vt:lpstr>SUMIFS_Ex (6)</vt:lpstr>
      <vt:lpstr>Concatenated_SUMIF_Ex</vt:lpstr>
      <vt:lpstr>DSUM_Ex1</vt:lpstr>
      <vt:lpstr>DSUM_Ex2</vt:lpstr>
      <vt:lpstr>Example_Sales_Report</vt:lpstr>
      <vt:lpstr>SUMPRODUCT_Ex</vt:lpstr>
      <vt:lpstr>SUMPRODUCT Comprehensive</vt:lpstr>
      <vt:lpstr>SUMPRODUCT_Ex (2)</vt:lpstr>
      <vt:lpstr>Error_Text</vt:lpstr>
      <vt:lpstr>Error_NA</vt:lpstr>
      <vt:lpstr>Comprehensive Example</vt:lpstr>
      <vt:lpstr>Comprehensive Example_ERROR</vt:lpstr>
      <vt:lpstr>Client_Name</vt:lpstr>
      <vt:lpstr>Days_in_Year</vt:lpstr>
      <vt:lpstr>Example_Reporting_Month</vt:lpstr>
      <vt:lpstr>HL_1</vt:lpstr>
      <vt:lpstr>HL_10</vt:lpstr>
      <vt:lpstr>HL_11</vt:lpstr>
      <vt:lpstr>HL_12</vt:lpstr>
      <vt:lpstr>HL_13</vt:lpstr>
      <vt:lpstr>HL_14</vt:lpstr>
      <vt:lpstr>HL_15</vt:lpstr>
      <vt:lpstr>HL_16</vt:lpstr>
      <vt:lpstr>HL_17</vt:lpstr>
      <vt:lpstr>HL_18</vt:lpstr>
      <vt:lpstr>HL_19</vt:lpstr>
      <vt:lpstr>HL_20</vt:lpstr>
      <vt:lpstr>HL_21</vt:lpstr>
      <vt:lpstr>HL_22</vt:lpstr>
      <vt:lpstr>HL_23</vt:lpstr>
      <vt:lpstr>HL_24</vt:lpstr>
      <vt:lpstr>HL_25</vt:lpstr>
      <vt:lpstr>HL_26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LI_BusinessUnits</vt:lpstr>
      <vt:lpstr>LI_ProductTypes</vt:lpstr>
      <vt:lpstr>Macro_NavHeading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2020-05-27T13:35:12Z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