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7310" windowHeight="8190" tabRatio="950" activeTab="0"/>
  </bookViews>
  <sheets>
    <sheet name="GC" sheetId="1" r:id="rId1"/>
    <sheet name="Contents" sheetId="2" r:id="rId2"/>
    <sheet name="Circ_Diag_MS" sheetId="3" r:id="rId3"/>
    <sheet name="Int_Rev_BO" sheetId="4" r:id="rId4"/>
    <sheet name="Checks_SC" sheetId="5" state="hidden" r:id="rId5"/>
    <sheet name="Err_Chks_BO" sheetId="6" state="hidden" r:id="rId6"/>
    <sheet name="Lookup_SC" sheetId="7" state="hidden" r:id="rId7"/>
    <sheet name="GL" sheetId="8" state="hidden" r:id="rId8"/>
  </sheets>
  <definedNames>
    <definedName name="Ann">'GL'!$G$10</definedName>
    <definedName name="Apr">'GL'!$C$13</definedName>
    <definedName name="Aug">'GL'!$C$17</definedName>
    <definedName name="Billion">'GL'!$K$35</definedName>
    <definedName name="Billions">'GL'!$K$10</definedName>
    <definedName name="CA_Err_Chks">'Err_Chks_BO'!$K$20:$K$23</definedName>
    <definedName name="CA_Err_Chks_Area_Names">'Err_Chks_BO'!$D$20:$D$23</definedName>
    <definedName name="CA_Err_Chks_Flags">'Err_Chks_BO'!$M$20:$M$23</definedName>
    <definedName name="CA_Err_Chks_Inc">'Err_Chks_BO'!$L$20:$L$23</definedName>
    <definedName name="Cash_Rate">'Int_Rev_BO'!$Q$14</definedName>
    <definedName name="CB_Err_Chks_Show_Msg">'Err_Chks_BO'!$C$9</definedName>
    <definedName name="CB_Inc_Circular">'Int_Rev_BO'!$C$11</definedName>
    <definedName name="Currency">'GL'!$K$13</definedName>
    <definedName name="Days_In_Wk">'GL'!$K$22</definedName>
    <definedName name="Dec">'GL'!$C$21</definedName>
    <definedName name="Err_Chks_Msg">'Err_Chks_BO'!$I$14</definedName>
    <definedName name="Err_Chks_Ttl_Areas">'Err_Chks_BO'!$M$24</definedName>
    <definedName name="Est_Start">'Int_Rev_BO'!$H$18</definedName>
    <definedName name="Feb">'GL'!$C$11</definedName>
    <definedName name="Half_1">'GL'!$C$36</definedName>
    <definedName name="Half_2">'GL'!$C$37</definedName>
    <definedName name="Half_Yr_Name">'GL'!$G$20</definedName>
    <definedName name="Halves_In_Yr">'GL'!$G$29</definedName>
    <definedName name="HL_Err_Chk">'Err_Chks_BO'!$A$1</definedName>
    <definedName name="HL_Home">'Contents'!$B$1</definedName>
    <definedName name="Hrs_In_Day">'GL'!$K$21</definedName>
    <definedName name="Hundred">'GL'!$K$32</definedName>
    <definedName name="Int_Diff_1">'Int_Rev_BO'!$I$39</definedName>
    <definedName name="Int_Diff_2">'Int_Rev_BO'!$K$39</definedName>
    <definedName name="Int_Diff_3">'Int_Rev_BO'!$M$39</definedName>
    <definedName name="Int_Rev_1">'Int_Rev_BO'!$H$19</definedName>
    <definedName name="Int_Rev_2">'Int_Rev_BO'!$K$21</definedName>
    <definedName name="Jan">'GL'!$C$10</definedName>
    <definedName name="Jul">'GL'!$C$16</definedName>
    <definedName name="Jun">'GL'!$C$15</definedName>
    <definedName name="LO_Err_Chks_Cust_1_Err_Chk">'Int_Rev_BO'!$I$43</definedName>
    <definedName name="LO_Err_Chks_Cust_2_Err_Chk">'Int_Rev_BO'!$K$43</definedName>
    <definedName name="LO_Err_Chks_Cust_3_Err_Chk">'Int_Rev_BO'!$M$43</definedName>
    <definedName name="LU_Denom">'GL'!$K$10:$K$13</definedName>
    <definedName name="LU_Halves">'GL'!$C$36:$C$37</definedName>
    <definedName name="LU_Mths">'GL'!$C$10:$C$21</definedName>
    <definedName name="LU_Per_Names">'GL'!$G$19:$G$22</definedName>
    <definedName name="LU_Pers">'GL'!$G$10:$G$13</definedName>
    <definedName name="LU_Pers_In_Yr">'GL'!$G$28:$G$31</definedName>
    <definedName name="LU_Qtrs">'GL'!$C$27:$C$30</definedName>
    <definedName name="LU_Yes_No">'GL'!$G$37:$G$38</definedName>
    <definedName name="Mar">'GL'!$C$12</definedName>
    <definedName name="May">'GL'!$C$14</definedName>
    <definedName name="Million">'GL'!$K$34</definedName>
    <definedName name="Millions">'GL'!$K$11</definedName>
    <definedName name="Mins_In_Hr">'GL'!$K$20</definedName>
    <definedName name="Model_Name">'GC'!$C$10</definedName>
    <definedName name="Mth_Name">'GL'!$G$22</definedName>
    <definedName name="Mthly">'GL'!$G$13</definedName>
    <definedName name="Mths_In_Half_Yr">'GL'!$K$25</definedName>
    <definedName name="Mths_In_Qtr">'GL'!$K$24</definedName>
    <definedName name="Mths_In_Yr">'GL'!$G$31</definedName>
    <definedName name="No">'GL'!$G$38</definedName>
    <definedName name="Non_Interest_Movement">'Int_Rev_BO'!$Q$25</definedName>
    <definedName name="Nov">'GL'!$C$20</definedName>
    <definedName name="Oct">'GL'!$C$19</definedName>
    <definedName name="Opening_Balance">'Int_Rev_BO'!$Q$20</definedName>
    <definedName name="_xlnm.Print_Area" localSheetId="4">'Checks_SC'!$B$1:$P$30</definedName>
    <definedName name="_xlnm.Print_Area" localSheetId="2">'Circ_Diag_MS'!$B$1:$BT$29</definedName>
    <definedName name="_xlnm.Print_Area" localSheetId="1">'Contents'!$B$1:$Q$11</definedName>
    <definedName name="_xlnm.Print_Area" localSheetId="5">'Err_Chks_BO'!$B$1:$N$26</definedName>
    <definedName name="_xlnm.Print_Area" localSheetId="0">'GC'!$B$1:$P$30</definedName>
    <definedName name="_xlnm.Print_Area" localSheetId="7">'GL'!$B$1:$N$40</definedName>
    <definedName name="_xlnm.Print_Area" localSheetId="3">'Int_Rev_BO'!$B$1:$U$44</definedName>
    <definedName name="_xlnm.Print_Area" localSheetId="6">'Lookup_SC'!$B$1:$P$30</definedName>
    <definedName name="_xlnm.Print_Titles" localSheetId="2">'Circ_Diag_MS'!$1:$6</definedName>
    <definedName name="_xlnm.Print_Titles" localSheetId="1">'Contents'!$1:$7</definedName>
    <definedName name="_xlnm.Print_Titles" localSheetId="5">'Err_Chks_BO'!$1:$6</definedName>
    <definedName name="_xlnm.Print_Titles" localSheetId="7">'GL'!$1:$6</definedName>
    <definedName name="_xlnm.Print_Titles" localSheetId="3">'Int_Rev_BO'!$1:$5</definedName>
    <definedName name="Proportion_of_Period">'Int_Rev_BO'!$Q$27</definedName>
    <definedName name="Qtr_1">'GL'!$C$27</definedName>
    <definedName name="Qtr_2">'GL'!$C$28</definedName>
    <definedName name="Qtr_3">'GL'!$C$29</definedName>
    <definedName name="Qtr_4">'GL'!$C$30</definedName>
    <definedName name="Qtr_Name">'GL'!$G$21</definedName>
    <definedName name="Qtrly">'GL'!$G$12</definedName>
    <definedName name="Qtrs_In_Yr">'GL'!$G$30</definedName>
    <definedName name="S_Iterate_Count">'Int_Rev_BO'!$G$13</definedName>
    <definedName name="Secs_In_Min">'GL'!$K$19</definedName>
    <definedName name="Semi_Ann">'GL'!$G$11</definedName>
    <definedName name="Sep">'GL'!$C$18</definedName>
    <definedName name="Tax_Rate">'Int_Rev_BO'!$Q$15</definedName>
    <definedName name="Ten">'GL'!$K$31</definedName>
    <definedName name="Thousand">'GL'!$K$33</definedName>
    <definedName name="Thousands">'GL'!$K$12</definedName>
    <definedName name="Wks_In_Yr">'GL'!$K$23</definedName>
    <definedName name="Yes">'GL'!$G$37</definedName>
    <definedName name="Yr_Name">'GL'!$G$19</definedName>
    <definedName name="Yrs_In_Yr">'GL'!$G$28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nick.burton</author>
  </authors>
  <commentList>
    <comment ref="K43" authorId="0">
      <text>
        <r>
          <rPr>
            <sz val="8"/>
            <rFont val="Tahoma"/>
            <family val="0"/>
          </rPr>
          <t>Links out to:
Error Checks</t>
        </r>
      </text>
    </comment>
    <comment ref="I43" authorId="0">
      <text>
        <r>
          <rPr>
            <sz val="8"/>
            <rFont val="Tahoma"/>
            <family val="0"/>
          </rPr>
          <t>Links out to:
Error Checks</t>
        </r>
      </text>
    </comment>
    <comment ref="M43" authorId="0">
      <text>
        <r>
          <rPr>
            <sz val="8"/>
            <rFont val="Tahoma"/>
            <family val="0"/>
          </rPr>
          <t>Links out to:
Error Checks</t>
        </r>
      </text>
    </comment>
  </commentList>
</comments>
</file>

<file path=xl/sharedStrings.xml><?xml version="1.0" encoding="utf-8"?>
<sst xmlns="http://schemas.openxmlformats.org/spreadsheetml/2006/main" count="228" uniqueCount="183">
  <si>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</si>
  <si>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</si>
  <si>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</si>
  <si>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</si>
  <si>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</si>
  <si>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</si>
  <si>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</si>
  <si>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General Lookup</t>
  </si>
  <si>
    <t>ç</t>
  </si>
  <si>
    <t>è</t>
  </si>
  <si>
    <t>Months Lookup</t>
  </si>
  <si>
    <t>Names:</t>
  </si>
  <si>
    <t>Month</t>
  </si>
  <si>
    <t>LU_Mths</t>
  </si>
  <si>
    <t>January</t>
  </si>
  <si>
    <t>Jan</t>
  </si>
  <si>
    <t>February</t>
  </si>
  <si>
    <t>Feb</t>
  </si>
  <si>
    <t>March</t>
  </si>
  <si>
    <t>Mar</t>
  </si>
  <si>
    <t>April</t>
  </si>
  <si>
    <t>Apr</t>
  </si>
  <si>
    <t>May</t>
  </si>
  <si>
    <t>June</t>
  </si>
  <si>
    <t>Jun</t>
  </si>
  <si>
    <t>July</t>
  </si>
  <si>
    <t>Jul</t>
  </si>
  <si>
    <t>August</t>
  </si>
  <si>
    <t>Aug</t>
  </si>
  <si>
    <t>September</t>
  </si>
  <si>
    <t>Sep</t>
  </si>
  <si>
    <t>October</t>
  </si>
  <si>
    <t>Oct</t>
  </si>
  <si>
    <t>November</t>
  </si>
  <si>
    <t>Nov</t>
  </si>
  <si>
    <t>December</t>
  </si>
  <si>
    <t>Dec</t>
  </si>
  <si>
    <t>Model Quarter Lookup</t>
  </si>
  <si>
    <t>Quarter</t>
  </si>
  <si>
    <t>LU_Qtrs</t>
  </si>
  <si>
    <t>Q1</t>
  </si>
  <si>
    <t>Qtr_1</t>
  </si>
  <si>
    <t>Q2</t>
  </si>
  <si>
    <t>Qtr_2</t>
  </si>
  <si>
    <t>Q3</t>
  </si>
  <si>
    <t>Qtr_3</t>
  </si>
  <si>
    <t>Q4</t>
  </si>
  <si>
    <t>Qtr_4</t>
  </si>
  <si>
    <t>Model Half Year Lookup</t>
  </si>
  <si>
    <t>Half Year</t>
  </si>
  <si>
    <t>LU_Halves</t>
  </si>
  <si>
    <t>H1</t>
  </si>
  <si>
    <t>Half_1</t>
  </si>
  <si>
    <t>H2</t>
  </si>
  <si>
    <t>Half_2</t>
  </si>
  <si>
    <t>Model Period Type Lookup</t>
  </si>
  <si>
    <t>Model Period Type</t>
  </si>
  <si>
    <t>LU_Pers</t>
  </si>
  <si>
    <t>Annual</t>
  </si>
  <si>
    <t>Ann</t>
  </si>
  <si>
    <t>Semi-Annual</t>
  </si>
  <si>
    <t>Semi_Ann</t>
  </si>
  <si>
    <t>Quarterly</t>
  </si>
  <si>
    <t>Qtrly</t>
  </si>
  <si>
    <t>Monthly</t>
  </si>
  <si>
    <t>Mthly</t>
  </si>
  <si>
    <t>Period Names Lookup</t>
  </si>
  <si>
    <t>Period Name</t>
  </si>
  <si>
    <t>LU_Per_Names</t>
  </si>
  <si>
    <t>Year</t>
  </si>
  <si>
    <t>Yr_Name</t>
  </si>
  <si>
    <t>Half_Yr_Name</t>
  </si>
  <si>
    <t>Qtr_Name</t>
  </si>
  <si>
    <t>Mth_Name</t>
  </si>
  <si>
    <t>Periods in Year Lookup</t>
  </si>
  <si>
    <t>Periods in Year</t>
  </si>
  <si>
    <t>LU_Pers_In_Yr</t>
  </si>
  <si>
    <t>Yrs_In_Yr</t>
  </si>
  <si>
    <t>Halves_In_Yr</t>
  </si>
  <si>
    <t>Qtrs_In_Yr</t>
  </si>
  <si>
    <t>Mths_In_Yr</t>
  </si>
  <si>
    <t>Yes / No Input Lookup</t>
  </si>
  <si>
    <t>Yes / No Input</t>
  </si>
  <si>
    <t>LU_Yes_No</t>
  </si>
  <si>
    <t>Yes</t>
  </si>
  <si>
    <t>No</t>
  </si>
  <si>
    <t>Model Denomination Lookup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</si>
  <si>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</si>
  <si>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</si>
  <si>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</si>
  <si>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</si>
  <si>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</si>
  <si>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</si>
  <si>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</si>
  <si>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</si>
  <si>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</si>
  <si>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</si>
  <si>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Time Constants Lookup</t>
  </si>
  <si>
    <t>Time Constant</t>
  </si>
  <si>
    <t>Secs_In_Min</t>
  </si>
  <si>
    <t>Mins_In_Hr</t>
  </si>
  <si>
    <t>Hrs_In_Day</t>
  </si>
  <si>
    <t>Days_In_Wk</t>
  </si>
  <si>
    <t>Wks_In_Yr</t>
  </si>
  <si>
    <t>Mths_In_Qtr</t>
  </si>
  <si>
    <t>Mths_In_Half_Yr</t>
  </si>
  <si>
    <t>Conversion Factor Lookup</t>
  </si>
  <si>
    <t>Conversion Factor</t>
  </si>
  <si>
    <t>Ten</t>
  </si>
  <si>
    <t>Hundred</t>
  </si>
  <si>
    <t>Thousand</t>
  </si>
  <si>
    <t>Million</t>
  </si>
  <si>
    <t>Billion</t>
  </si>
  <si>
    <t>GL</t>
  </si>
  <si>
    <t>SC</t>
  </si>
  <si>
    <t>MS</t>
  </si>
  <si>
    <t>Assumptions</t>
  </si>
  <si>
    <t>Model Lookup Tables</t>
  </si>
  <si>
    <t>a.</t>
  </si>
  <si>
    <t>Section 2.</t>
  </si>
  <si>
    <t>Section 3.</t>
  </si>
  <si>
    <t>BO</t>
  </si>
  <si>
    <t>Corporate Tax Rate</t>
  </si>
  <si>
    <t>Category Names</t>
  </si>
  <si>
    <t>Rate</t>
  </si>
  <si>
    <t>Interest &amp; Tax Rates</t>
  </si>
  <si>
    <t>Opening Balances</t>
  </si>
  <si>
    <t>Balance</t>
  </si>
  <si>
    <t>Period Cashflows</t>
  </si>
  <si>
    <t>Revenue</t>
  </si>
  <si>
    <t>Opening Cash Balance ($000)</t>
  </si>
  <si>
    <t>b.</t>
  </si>
  <si>
    <t>Interest Revenue</t>
  </si>
  <si>
    <t>Actual</t>
  </si>
  <si>
    <t>Cash at Bank</t>
  </si>
  <si>
    <t>Change in Cash Held</t>
  </si>
  <si>
    <t>Opening Balance</t>
  </si>
  <si>
    <t>Closing Balance</t>
  </si>
  <si>
    <t>Average Balance</t>
  </si>
  <si>
    <t>Difference</t>
  </si>
  <si>
    <t>Checks</t>
  </si>
  <si>
    <t>Error Check (Run Macro):</t>
  </si>
  <si>
    <t>Err_Chks</t>
  </si>
  <si>
    <t>Error Checks</t>
  </si>
  <si>
    <t>Errors Detected - Summary</t>
  </si>
  <si>
    <t>Error Checks by Area</t>
  </si>
  <si>
    <t>Check</t>
  </si>
  <si>
    <t>Include?</t>
  </si>
  <si>
    <t>Msg Flag</t>
  </si>
  <si>
    <t>Total Error Areas:</t>
  </si>
  <si>
    <t>Error Message (Empty if None):</t>
  </si>
  <si>
    <t xml:space="preserve">Target </t>
  </si>
  <si>
    <t>Interest Revenue = Average Cash × Interest Rate</t>
  </si>
  <si>
    <t>Interest Revenue Example</t>
  </si>
  <si>
    <t>Interest Rate</t>
  </si>
  <si>
    <t>Circular</t>
  </si>
  <si>
    <t>Goal Seek</t>
  </si>
  <si>
    <t>Formulae</t>
  </si>
  <si>
    <t>- Interest Revenue (Goal Seek)</t>
  </si>
  <si>
    <t>- Interest Revenue (Circular Calc.)</t>
  </si>
  <si>
    <t>Macro Iterations:</t>
  </si>
  <si>
    <t>Non-Interest Cash Movement ($000)</t>
  </si>
  <si>
    <t>Proportion into Period of Movement</t>
  </si>
  <si>
    <t>Interest on Average Cash Balance Calculation</t>
  </si>
  <si>
    <t xml:space="preserve">  Page  </t>
  </si>
  <si>
    <t>Total Pages:</t>
  </si>
  <si>
    <t>Average Cash = Proportion of Opening Cash 
                               + (1 - Proportion of Closing Cash)</t>
  </si>
  <si>
    <t>Closing Cash = Opening Cash 
                                   + Change in Cash Held</t>
  </si>
  <si>
    <t>Interest on Average Cash Balance - How the Circular Occurs</t>
  </si>
  <si>
    <t>Cash Flow Statement ($000)</t>
  </si>
  <si>
    <t>Balance Sheet ($000)</t>
  </si>
  <si>
    <t>Net Cash Receipts (Pre-Tax and Interest)</t>
  </si>
  <si>
    <t>Pre-tax Cashflow</t>
  </si>
  <si>
    <t>Cash Tax Paid</t>
  </si>
  <si>
    <t>- Illustrative Difference</t>
  </si>
  <si>
    <t>Primary Developer:  Liam Bastick</t>
  </si>
  <si>
    <t>General Cover Notes:</t>
  </si>
  <si>
    <t>Any queries, please e-mail:</t>
  </si>
  <si>
    <t>Website:</t>
  </si>
  <si>
    <t>How to calculate interest on average cash balances.</t>
  </si>
  <si>
    <t>Change in Cash = Net Cash Receipts 
                        + Interest Revenue</t>
  </si>
  <si>
    <t>liam.bastick@sumproduct.com</t>
  </si>
  <si>
    <t>www.sumproduct.com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</si>
</sst>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_(#,##0.0_);\(#,##0.0\);_(&quot;-&quot;_)"/>
    <numFmt numFmtId="166" formatCode="_(#,##0.0%_);\(#,##0.0%\);_(&quot;-&quot;_)"/>
    <numFmt numFmtId="167" formatCode="_(#,##0.0\x_);\(#,##0.0\x\);_(&quot;-&quot;_)"/>
    <numFmt numFmtId="168" formatCode="_(&quot;$&quot;#,##0.0_);\(&quot;$&quot;#,##0.0\);_(&quot;-&quot;_)"/>
    <numFmt numFmtId="169" formatCode="_)d\-mmm\-yy_)"/>
    <numFmt numFmtId="170" formatCode="_(#,##0_);\(#,##0\);_(&quot;-&quot;_)"/>
    <numFmt numFmtId="171" formatCode="#,##0."/>
    <numFmt numFmtId="172" formatCode="_)d/m/yy_)"/>
    <numFmt numFmtId="173" formatCode="_(#,##0.00_);\(#,##0.00\);_(&quot;-&quot;_)"/>
    <numFmt numFmtId="174" formatCode="0.0000000000000"/>
    <numFmt numFmtId="175" formatCode="0.0"/>
    <numFmt numFmtId="176" formatCode="0.0000"/>
    <numFmt numFmtId="177" formatCode="_(#,##0.00%_);\(#,##0.00%\);_(&quot;-&quot;_)"/>
    <numFmt numFmtId="178" formatCode="0.0%"/>
    <numFmt numFmtId="179" formatCode="0.000%"/>
    <numFmt numFmtId="180" formatCode="0.000000000000000000"/>
    <numFmt numFmtId="181" formatCode="0.00000000000000"/>
    <numFmt numFmtId="182" formatCode="0.00000%"/>
    <numFmt numFmtId="183" formatCode="_(#,##0.0000_);\(#,##0.0000\);_(&quot;-&quot;_)"/>
    <numFmt numFmtId="184" formatCode="#,##0.0"/>
    <numFmt numFmtId="185" formatCode="_(#,##0_);\(#,##0\);_-&quot;-&quot;_-"/>
    <numFmt numFmtId="186" formatCode="0.0000000000000000"/>
    <numFmt numFmtId="187" formatCode="_(#,##0.000_);\(#,##0.000\);_(&quot;-&quot;_)"/>
    <numFmt numFmtId="188" formatCode="_(#,##0.00000_);\(#,##0.00000\);_(&quot;-&quot;_)"/>
    <numFmt numFmtId="189" formatCode="_(#,##0.000000_);\(#,##0.000000\);_(&quot;-&quot;_)"/>
    <numFmt numFmtId="190" formatCode="_(#,##0.0000000_);\(#,##0.0000000\);_(&quot;-&quot;_)"/>
    <numFmt numFmtId="191" formatCode="0.00000000000000000"/>
    <numFmt numFmtId="192" formatCode="_(#,##0.0000%_);\(#,##0.0000%\);_(&quot;-&quot;_)"/>
  </numFmts>
  <fonts count="30"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u val="single"/>
      <sz val="8"/>
      <color indexed="56"/>
      <name val="Arial"/>
      <family val="0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b/>
      <u val="single"/>
      <sz val="7.5"/>
      <color indexed="56"/>
      <name val="Arial"/>
      <family val="0"/>
    </font>
    <font>
      <b/>
      <sz val="14"/>
      <color indexed="60"/>
      <name val="Arial"/>
      <family val="0"/>
    </font>
    <font>
      <b/>
      <sz val="8"/>
      <color indexed="60"/>
      <name val="Arial"/>
      <family val="0"/>
    </font>
    <font>
      <sz val="8"/>
      <color indexed="60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b/>
      <sz val="10"/>
      <color indexed="60"/>
      <name val="Arial"/>
      <family val="0"/>
    </font>
    <font>
      <sz val="8"/>
      <name val="Tahoma"/>
      <family val="2"/>
    </font>
    <font>
      <b/>
      <sz val="8"/>
      <color indexed="59"/>
      <name val="Arial"/>
      <family val="0"/>
    </font>
    <font>
      <b/>
      <sz val="13"/>
      <color indexed="60"/>
      <name val="Arial"/>
      <family val="0"/>
    </font>
    <font>
      <sz val="8"/>
      <color indexed="59"/>
      <name val="Arial"/>
      <family val="0"/>
    </font>
    <font>
      <u val="single"/>
      <sz val="8"/>
      <color indexed="36"/>
      <name val="Arial"/>
      <family val="0"/>
    </font>
    <font>
      <b/>
      <sz val="9"/>
      <color indexed="60"/>
      <name val="Arial"/>
      <family val="0"/>
    </font>
    <font>
      <sz val="8"/>
      <color indexed="63"/>
      <name val="Arial"/>
      <family val="0"/>
    </font>
    <font>
      <b/>
      <sz val="12"/>
      <color indexed="59"/>
      <name val="Arial"/>
      <family val="0"/>
    </font>
    <font>
      <b/>
      <sz val="8"/>
      <color indexed="56"/>
      <name val="Arial"/>
      <family val="0"/>
    </font>
    <font>
      <b/>
      <sz val="8"/>
      <color indexed="10"/>
      <name val="Tahoma"/>
      <family val="2"/>
    </font>
    <font>
      <sz val="7"/>
      <name val="Tahoma"/>
      <family val="2"/>
    </font>
    <font>
      <b/>
      <sz val="7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>
      <alignment horizontal="center" vertical="center"/>
      <protection locked="0"/>
    </xf>
    <xf numFmtId="15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8" fontId="0" fillId="0" borderId="1">
      <alignment horizontal="right" vertical="center"/>
      <protection locked="0"/>
    </xf>
    <xf numFmtId="169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5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0" fillId="0" borderId="0" applyNumberFormat="0" applyFont="0" applyFill="0" applyBorder="0">
      <alignment horizontal="center" vertical="center"/>
      <protection locked="0"/>
    </xf>
    <xf numFmtId="168" fontId="0" fillId="0" borderId="0" applyFill="0" applyBorder="0">
      <alignment horizontal="center" vertical="center"/>
      <protection/>
    </xf>
    <xf numFmtId="15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1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" fillId="0" borderId="2" applyFill="0">
      <alignment horizontal="center" vertical="center"/>
      <protection/>
    </xf>
    <xf numFmtId="0" fontId="0" fillId="0" borderId="2" applyFill="0">
      <alignment horizontal="center" vertical="center"/>
      <protection/>
    </xf>
    <xf numFmtId="170" fontId="0" fillId="0" borderId="2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8" fontId="0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5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7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</cellStyleXfs>
  <cellXfs count="104">
    <xf numFmtId="0" fontId="0" fillId="0" borderId="0" xfId="0" applyAlignment="1">
      <alignment/>
    </xf>
    <xf numFmtId="0" fontId="12" fillId="0" borderId="0" xfId="61" applyFont="1">
      <alignment horizontal="left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3" applyFont="1" applyAlignment="1">
      <alignment horizontal="left" vertical="center"/>
      <protection/>
    </xf>
    <xf numFmtId="0" fontId="7" fillId="0" borderId="0" xfId="47">
      <alignment horizontal="left" vertical="center"/>
      <protection locked="0"/>
    </xf>
    <xf numFmtId="0" fontId="3" fillId="0" borderId="0" xfId="51" applyFont="1">
      <alignment horizontal="left" vertical="center"/>
      <protection/>
    </xf>
    <xf numFmtId="0" fontId="16" fillId="0" borderId="0" xfId="44" applyAlignment="1">
      <alignment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45">
      <alignment horizontal="center" vertical="center"/>
      <protection locked="0"/>
    </xf>
    <xf numFmtId="0" fontId="17" fillId="0" borderId="0" xfId="40" applyFont="1" applyAlignment="1">
      <alignment horizontal="left" vertical="center"/>
      <protection/>
    </xf>
    <xf numFmtId="0" fontId="12" fillId="0" borderId="0" xfId="61" applyFont="1" applyProtection="1">
      <alignment horizontal="left" vertical="center"/>
      <protection locked="0"/>
    </xf>
    <xf numFmtId="0" fontId="8" fillId="0" borderId="0" xfId="45" applyAlignment="1">
      <alignment horizontal="right" vertical="center"/>
      <protection locked="0"/>
    </xf>
    <xf numFmtId="0" fontId="8" fillId="0" borderId="0" xfId="45" applyAlignment="1">
      <alignment horizontal="left" vertical="center"/>
      <protection locked="0"/>
    </xf>
    <xf numFmtId="0" fontId="13" fillId="0" borderId="2" xfId="48" applyFont="1">
      <alignment horizontal="center" vertical="center"/>
      <protection/>
    </xf>
    <xf numFmtId="0" fontId="14" fillId="0" borderId="2" xfId="49" applyFont="1">
      <alignment horizontal="center" vertical="center"/>
      <protection/>
    </xf>
    <xf numFmtId="170" fontId="14" fillId="0" borderId="2" xfId="50" applyFont="1">
      <alignment horizontal="center" vertical="center"/>
      <protection/>
    </xf>
    <xf numFmtId="0" fontId="20" fillId="0" borderId="0" xfId="60" applyFont="1">
      <alignment horizontal="left" vertical="center"/>
      <protection/>
    </xf>
    <xf numFmtId="0" fontId="0" fillId="0" borderId="0" xfId="0" applyAlignment="1">
      <alignment horizontal="left"/>
    </xf>
    <xf numFmtId="0" fontId="8" fillId="0" borderId="0" xfId="45" applyBorder="1">
      <alignment horizontal="center" vertical="center"/>
      <protection locked="0"/>
    </xf>
    <xf numFmtId="0" fontId="0" fillId="0" borderId="0" xfId="0" applyBorder="1" applyAlignment="1">
      <alignment/>
    </xf>
    <xf numFmtId="0" fontId="14" fillId="0" borderId="3" xfId="21" applyFont="1" applyBorder="1">
      <alignment vertical="center"/>
      <protection locked="0"/>
    </xf>
    <xf numFmtId="0" fontId="15" fillId="0" borderId="0" xfId="0" applyFont="1" applyBorder="1" applyAlignment="1" applyProtection="1">
      <alignment/>
      <protection locked="0"/>
    </xf>
    <xf numFmtId="0" fontId="12" fillId="0" borderId="0" xfId="61" applyFont="1" applyBorder="1">
      <alignment horizontal="left" vertical="center"/>
      <protection/>
    </xf>
    <xf numFmtId="0" fontId="3" fillId="0" borderId="0" xfId="51" applyFont="1" applyBorder="1">
      <alignment horizontal="left" vertical="center"/>
      <protection/>
    </xf>
    <xf numFmtId="0" fontId="8" fillId="0" borderId="0" xfId="45" applyBorder="1" applyAlignment="1">
      <alignment horizontal="right" vertical="center"/>
      <protection locked="0"/>
    </xf>
    <xf numFmtId="0" fontId="8" fillId="0" borderId="0" xfId="45" applyBorder="1" applyAlignment="1">
      <alignment horizontal="left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19" fillId="0" borderId="0" xfId="53" applyFont="1" applyBorder="1" applyAlignment="1">
      <alignment horizontal="left" vertical="center"/>
      <protection/>
    </xf>
    <xf numFmtId="0" fontId="23" fillId="0" borderId="0" xfId="41" applyFont="1" applyBorder="1">
      <alignment vertical="center"/>
      <protection/>
    </xf>
    <xf numFmtId="168" fontId="0" fillId="0" borderId="0" xfId="0" applyNumberFormat="1" applyBorder="1" applyAlignment="1">
      <alignment/>
    </xf>
    <xf numFmtId="0" fontId="17" fillId="0" borderId="0" xfId="40" applyFont="1">
      <alignment vertical="center"/>
      <protection/>
    </xf>
    <xf numFmtId="0" fontId="15" fillId="0" borderId="0" xfId="28" applyFont="1">
      <alignment horizontal="center" vertical="center"/>
      <protection locked="0"/>
    </xf>
    <xf numFmtId="165" fontId="6" fillId="0" borderId="4" xfId="0" applyNumberFormat="1" applyFont="1" applyBorder="1" applyAlignment="1">
      <alignment/>
    </xf>
    <xf numFmtId="0" fontId="17" fillId="0" borderId="0" xfId="40" applyFont="1" applyBorder="1">
      <alignment vertical="center"/>
      <protection/>
    </xf>
    <xf numFmtId="0" fontId="13" fillId="0" borderId="0" xfId="42" applyFont="1" applyBorder="1">
      <alignment vertical="center"/>
      <protection/>
    </xf>
    <xf numFmtId="0" fontId="14" fillId="0" borderId="0" xfId="43" applyFont="1" applyBorder="1">
      <alignment vertical="center"/>
      <protection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43" applyFont="1" applyBorder="1">
      <alignment vertical="center"/>
      <protection/>
    </xf>
    <xf numFmtId="165" fontId="6" fillId="0" borderId="0" xfId="0" applyNumberFormat="1" applyFont="1" applyBorder="1" applyAlignment="1">
      <alignment/>
    </xf>
    <xf numFmtId="0" fontId="13" fillId="0" borderId="0" xfId="42" applyFont="1" applyBorder="1" applyAlignment="1">
      <alignment horizontal="center" vertical="center"/>
      <protection/>
    </xf>
    <xf numFmtId="177" fontId="0" fillId="0" borderId="0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24" fillId="0" borderId="0" xfId="43" applyFont="1" applyAlignment="1">
      <alignment horizontal="left" vertical="center"/>
      <protection/>
    </xf>
    <xf numFmtId="0" fontId="23" fillId="0" borderId="0" xfId="41" applyFont="1" applyAlignment="1">
      <alignment horizontal="left" vertical="center"/>
      <protection/>
    </xf>
    <xf numFmtId="0" fontId="13" fillId="0" borderId="5" xfId="42" applyFont="1" applyBorder="1" applyAlignment="1">
      <alignment horizontal="center" vertical="center"/>
      <protection/>
    </xf>
    <xf numFmtId="170" fontId="0" fillId="0" borderId="0" xfId="32" applyNumberFormat="1" applyFont="1" applyAlignment="1">
      <alignment horizontal="center" vertical="center"/>
      <protection/>
    </xf>
    <xf numFmtId="0" fontId="14" fillId="0" borderId="0" xfId="28" applyFont="1" applyAlignment="1">
      <alignment horizontal="center" vertical="center"/>
      <protection locked="0"/>
    </xf>
    <xf numFmtId="170" fontId="6" fillId="0" borderId="2" xfId="32" applyNumberFormat="1" applyFont="1" applyBorder="1" applyAlignment="1">
      <alignment horizontal="center" vertical="center"/>
      <protection/>
    </xf>
    <xf numFmtId="0" fontId="6" fillId="0" borderId="0" xfId="42" applyFont="1" applyAlignment="1">
      <alignment horizontal="left" vertical="center"/>
      <protection/>
    </xf>
    <xf numFmtId="0" fontId="21" fillId="0" borderId="6" xfId="43" applyFont="1" applyBorder="1" applyAlignment="1">
      <alignment horizontal="left" vertical="center"/>
      <protection/>
    </xf>
    <xf numFmtId="0" fontId="25" fillId="0" borderId="0" xfId="51" applyFont="1">
      <alignment horizontal="left" vertical="center"/>
      <protection/>
    </xf>
    <xf numFmtId="0" fontId="23" fillId="0" borderId="0" xfId="41" applyFont="1" applyAlignment="1">
      <alignment horizontal="center" vertical="center"/>
      <protection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23" fillId="2" borderId="7" xfId="41" applyFont="1" applyFill="1" applyBorder="1">
      <alignment vertical="center"/>
      <protection/>
    </xf>
    <xf numFmtId="0" fontId="13" fillId="2" borderId="0" xfId="42" applyFont="1" applyFill="1" applyBorder="1">
      <alignment vertical="center"/>
      <protection/>
    </xf>
    <xf numFmtId="0" fontId="13" fillId="2" borderId="0" xfId="42" applyFont="1" applyFill="1" applyBorder="1" applyAlignment="1">
      <alignment horizontal="center" vertical="center"/>
      <protection/>
    </xf>
    <xf numFmtId="166" fontId="14" fillId="0" borderId="1" xfId="26" applyFont="1" applyBorder="1" applyAlignment="1">
      <alignment vertical="center"/>
      <protection locked="0"/>
    </xf>
    <xf numFmtId="168" fontId="14" fillId="0" borderId="1" xfId="26" applyNumberFormat="1" applyFont="1" applyBorder="1" applyAlignment="1">
      <alignment vertical="center"/>
      <protection locked="0"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42" applyFont="1" applyFill="1" applyBorder="1">
      <alignment vertical="center"/>
      <protection/>
    </xf>
    <xf numFmtId="165" fontId="6" fillId="0" borderId="0" xfId="0" applyNumberFormat="1" applyFont="1" applyFill="1" applyBorder="1" applyAlignment="1">
      <alignment/>
    </xf>
    <xf numFmtId="0" fontId="15" fillId="0" borderId="0" xfId="28" applyFont="1" applyBorder="1">
      <alignment horizontal="center" vertical="center"/>
      <protection locked="0"/>
    </xf>
    <xf numFmtId="0" fontId="0" fillId="0" borderId="0" xfId="0" applyBorder="1" applyAlignment="1">
      <alignment horizontal="center"/>
    </xf>
    <xf numFmtId="165" fontId="14" fillId="0" borderId="0" xfId="0" applyNumberFormat="1" applyFont="1" applyFill="1" applyBorder="1" applyAlignment="1">
      <alignment/>
    </xf>
    <xf numFmtId="0" fontId="14" fillId="0" borderId="0" xfId="43" applyFont="1" applyBorder="1" quotePrefix="1">
      <alignment vertical="center"/>
      <protection/>
    </xf>
    <xf numFmtId="165" fontId="0" fillId="0" borderId="4" xfId="0" applyNumberFormat="1" applyBorder="1" applyAlignment="1">
      <alignment/>
    </xf>
    <xf numFmtId="183" fontId="0" fillId="0" borderId="0" xfId="0" applyNumberFormat="1" applyBorder="1" applyAlignment="1">
      <alignment/>
    </xf>
    <xf numFmtId="170" fontId="14" fillId="0" borderId="0" xfId="28" applyNumberFormat="1" applyFont="1" applyBorder="1" applyAlignment="1">
      <alignment horizontal="right" vertical="center"/>
      <protection locked="0"/>
    </xf>
    <xf numFmtId="0" fontId="14" fillId="0" borderId="11" xfId="21" applyFont="1" applyBorder="1">
      <alignment vertical="center"/>
      <protection locked="0"/>
    </xf>
    <xf numFmtId="168" fontId="14" fillId="0" borderId="12" xfId="26" applyNumberFormat="1" applyFont="1" applyBorder="1" applyAlignment="1">
      <alignment vertical="center"/>
      <protection locked="0"/>
    </xf>
    <xf numFmtId="0" fontId="17" fillId="2" borderId="7" xfId="40" applyFont="1" applyFill="1" applyBorder="1">
      <alignment vertical="center"/>
      <protection/>
    </xf>
    <xf numFmtId="166" fontId="14" fillId="0" borderId="1" xfId="26" applyFont="1">
      <alignment horizontal="right" vertical="center"/>
      <protection locked="0"/>
    </xf>
    <xf numFmtId="0" fontId="17" fillId="0" borderId="5" xfId="40" applyFont="1" applyBorder="1" applyAlignment="1">
      <alignment horizontal="left" vertical="center"/>
      <protection/>
    </xf>
    <xf numFmtId="0" fontId="0" fillId="0" borderId="5" xfId="0" applyBorder="1" applyAlignment="1">
      <alignment/>
    </xf>
    <xf numFmtId="0" fontId="17" fillId="0" borderId="5" xfId="40" applyFont="1" applyBorder="1" applyAlignment="1">
      <alignment horizontal="center" vertical="center"/>
      <protection/>
    </xf>
    <xf numFmtId="170" fontId="0" fillId="0" borderId="0" xfId="0" applyNumberFormat="1" applyAlignment="1">
      <alignment/>
    </xf>
    <xf numFmtId="170" fontId="26" fillId="0" borderId="0" xfId="64" applyNumberFormat="1" applyFont="1" applyAlignment="1">
      <alignment horizontal="center" vertical="center"/>
      <protection locked="0"/>
    </xf>
    <xf numFmtId="170" fontId="23" fillId="0" borderId="4" xfId="41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/>
    </xf>
    <xf numFmtId="185" fontId="19" fillId="0" borderId="8" xfId="57" applyNumberFormat="1" applyFont="1" applyBorder="1" applyProtection="1">
      <alignment horizontal="right" vertical="center"/>
      <protection locked="0"/>
    </xf>
    <xf numFmtId="165" fontId="14" fillId="3" borderId="0" xfId="0" applyNumberFormat="1" applyFont="1" applyFill="1" applyBorder="1" applyAlignment="1" applyProtection="1">
      <alignment/>
      <protection locked="0"/>
    </xf>
    <xf numFmtId="165" fontId="13" fillId="4" borderId="0" xfId="0" applyNumberFormat="1" applyFont="1" applyFill="1" applyBorder="1" applyAlignment="1">
      <alignment/>
    </xf>
    <xf numFmtId="0" fontId="7" fillId="0" borderId="0" xfId="47">
      <alignment horizontal="left" vertical="center"/>
      <protection locked="0"/>
    </xf>
    <xf numFmtId="170" fontId="7" fillId="0" borderId="0" xfId="64" applyNumberFormat="1" applyAlignment="1" quotePrefix="1">
      <alignment horizontal="right" vertical="center"/>
      <protection locked="0"/>
    </xf>
    <xf numFmtId="170" fontId="7" fillId="0" borderId="0" xfId="64" applyNumberFormat="1" quotePrefix="1">
      <alignment horizontal="left" vertical="center"/>
      <protection locked="0"/>
    </xf>
    <xf numFmtId="0" fontId="23" fillId="0" borderId="0" xfId="41" applyFont="1" applyBorder="1" applyAlignment="1">
      <alignment horizontal="center" vertical="center" wrapText="1"/>
      <protection/>
    </xf>
    <xf numFmtId="0" fontId="23" fillId="0" borderId="0" xfId="4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8" fillId="0" borderId="0" xfId="45" applyAlignment="1">
      <alignment horizontal="right" vertical="center"/>
      <protection locked="0"/>
    </xf>
    <xf numFmtId="0" fontId="8" fillId="0" borderId="0" xfId="45" applyAlignment="1">
      <alignment horizontal="left" vertical="center"/>
      <protection locked="0"/>
    </xf>
    <xf numFmtId="0" fontId="7" fillId="0" borderId="0" xfId="47" applyBorder="1">
      <alignment horizontal="left" vertical="center"/>
      <protection locked="0"/>
    </xf>
    <xf numFmtId="0" fontId="17" fillId="5" borderId="13" xfId="40" applyFont="1" applyFill="1" applyBorder="1" applyAlignment="1">
      <alignment horizontal="center" vertical="center"/>
      <protection/>
    </xf>
    <xf numFmtId="0" fontId="17" fillId="5" borderId="14" xfId="40" applyFont="1" applyFill="1" applyBorder="1" applyAlignment="1">
      <alignment horizontal="center" vertical="center"/>
      <protection/>
    </xf>
    <xf numFmtId="0" fontId="17" fillId="5" borderId="15" xfId="40" applyFont="1" applyFill="1" applyBorder="1" applyAlignment="1">
      <alignment horizontal="center" vertical="center"/>
      <protection/>
    </xf>
  </cellXfs>
  <cellStyles count="52">
    <cellStyle name="Normal" xfId="0"/>
    <cellStyle name="Assumptions Center Currency" xfId="15"/>
    <cellStyle name="Assumptions Center Date" xfId="16"/>
    <cellStyle name="Assumptions Center Multiple" xfId="17"/>
    <cellStyle name="Assumptions Center Number" xfId="18"/>
    <cellStyle name="Assumptions Center Percentage" xfId="19"/>
    <cellStyle name="Assumptions Center Year" xfId="20"/>
    <cellStyle name="Assumptions Heading" xfId="21"/>
    <cellStyle name="Assumptions Right Currency" xfId="22"/>
    <cellStyle name="Assumptions Right Date" xfId="23"/>
    <cellStyle name="Assumptions Right Multiple" xfId="24"/>
    <cellStyle name="Assumptions Right Number" xfId="25"/>
    <cellStyle name="Assumptions Right Percentage" xfId="26"/>
    <cellStyle name="Assumptions Right Year" xfId="27"/>
    <cellStyle name="Cell Link" xfId="28"/>
    <cellStyle name="Center Currency" xfId="29"/>
    <cellStyle name="Center Date" xfId="30"/>
    <cellStyle name="Center Multiple" xfId="31"/>
    <cellStyle name="Center Number" xfId="32"/>
    <cellStyle name="Center Percentage" xfId="33"/>
    <cellStyle name="Center Year" xfId="34"/>
    <cellStyle name="Comma" xfId="35"/>
    <cellStyle name="Comma [0]" xfId="36"/>
    <cellStyle name="Currency" xfId="37"/>
    <cellStyle name="Currency [0]" xfId="38"/>
    <cellStyle name="Followed Hyperlink" xfId="39"/>
    <cellStyle name="Heading 1" xfId="40"/>
    <cellStyle name="Heading 2" xfId="41"/>
    <cellStyle name="Heading 3" xfId="42"/>
    <cellStyle name="Heading 4" xfId="43"/>
    <cellStyle name="Hyperlink" xfId="44"/>
    <cellStyle name="Hyperlink Arrow" xfId="45"/>
    <cellStyle name="Hyperlink Check" xfId="46"/>
    <cellStyle name="Hyperlink Text" xfId="47"/>
    <cellStyle name="Lookup Table Heading" xfId="48"/>
    <cellStyle name="Lookup Table Label" xfId="49"/>
    <cellStyle name="Lookup Table Number" xfId="50"/>
    <cellStyle name="Model Name" xfId="51"/>
    <cellStyle name="Percent" xfId="52"/>
    <cellStyle name="Period Title" xfId="53"/>
    <cellStyle name="Right Currency" xfId="54"/>
    <cellStyle name="Right Date" xfId="55"/>
    <cellStyle name="Right Multiple" xfId="56"/>
    <cellStyle name="Right Number" xfId="57"/>
    <cellStyle name="Right Percentage" xfId="58"/>
    <cellStyle name="Right Year" xfId="59"/>
    <cellStyle name="Section Number" xfId="60"/>
    <cellStyle name="Sheet Title" xfId="61"/>
    <cellStyle name="TOC 1" xfId="62"/>
    <cellStyle name="TOC 2" xfId="63"/>
    <cellStyle name="TOC 3" xfId="64"/>
    <cellStyle name="TOC 4" xfId="65"/>
  </cellStyles>
  <dxfs count="2">
    <dxf>
      <font>
        <b/>
        <i val="0"/>
        <color rgb="FFCB2840"/>
      </font>
      <border/>
    </dxf>
    <dxf>
      <font>
        <b/>
        <i/>
        <color rgb="FFCB284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257550" cy="552450"/>
    <xdr:sp>
      <xdr:nvSpPr>
        <xdr:cNvPr id="1" name="TextBox 2"/>
        <xdr:cNvSpPr txBox="1">
          <a:spLocks noChangeArrowheads="1"/>
        </xdr:cNvSpPr>
      </xdr:nvSpPr>
      <xdr:spPr>
        <a:xfrm>
          <a:off x="1238250" y="3857625"/>
          <a:ext cx="3257550" cy="552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ENSURE YOU HAVE ENABLED MACROS AND SWITCHED ITERATIONS ON ELSE CIRCULAR AND GOAL SEEK MAY NOT CALCULATE CORRECTLY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32</xdr:col>
      <xdr:colOff>0</xdr:colOff>
      <xdr:row>14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76325" y="1524000"/>
          <a:ext cx="3495675" cy="733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32</xdr:col>
      <xdr:colOff>0</xdr:colOff>
      <xdr:row>28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076325" y="3543300"/>
          <a:ext cx="3495675" cy="714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23</xdr:row>
      <xdr:rowOff>0</xdr:rowOff>
    </xdr:from>
    <xdr:to>
      <xdr:col>71</xdr:col>
      <xdr:colOff>0</xdr:colOff>
      <xdr:row>28</xdr:row>
      <xdr:rowOff>0</xdr:rowOff>
    </xdr:to>
    <xdr:sp>
      <xdr:nvSpPr>
        <xdr:cNvPr id="3" name="AutoShape 7"/>
        <xdr:cNvSpPr>
          <a:spLocks/>
        </xdr:cNvSpPr>
      </xdr:nvSpPr>
      <xdr:spPr>
        <a:xfrm>
          <a:off x="6572250" y="3543300"/>
          <a:ext cx="3571875" cy="714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9</xdr:row>
      <xdr:rowOff>0</xdr:rowOff>
    </xdr:from>
    <xdr:to>
      <xdr:col>71</xdr:col>
      <xdr:colOff>0</xdr:colOff>
      <xdr:row>14</xdr:row>
      <xdr:rowOff>0</xdr:rowOff>
    </xdr:to>
    <xdr:sp>
      <xdr:nvSpPr>
        <xdr:cNvPr id="4" name="AutoShape 9"/>
        <xdr:cNvSpPr>
          <a:spLocks/>
        </xdr:cNvSpPr>
      </xdr:nvSpPr>
      <xdr:spPr>
        <a:xfrm>
          <a:off x="6572250" y="1524000"/>
          <a:ext cx="3571875" cy="733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0</xdr:rowOff>
    </xdr:from>
    <xdr:to>
      <xdr:col>19</xdr:col>
      <xdr:colOff>19050</xdr:colOff>
      <xdr:row>23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828925" y="2257425"/>
          <a:ext cx="0" cy="1285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76200</xdr:rowOff>
    </xdr:from>
    <xdr:to>
      <xdr:col>46</xdr:col>
      <xdr:colOff>0</xdr:colOff>
      <xdr:row>25</xdr:row>
      <xdr:rowOff>76200</xdr:rowOff>
    </xdr:to>
    <xdr:sp>
      <xdr:nvSpPr>
        <xdr:cNvPr id="6" name="AutoShape 11"/>
        <xdr:cNvSpPr>
          <a:spLocks/>
        </xdr:cNvSpPr>
      </xdr:nvSpPr>
      <xdr:spPr>
        <a:xfrm>
          <a:off x="4572000" y="39052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76200</xdr:colOff>
      <xdr:row>14</xdr:row>
      <xdr:rowOff>0</xdr:rowOff>
    </xdr:from>
    <xdr:to>
      <xdr:col>58</xdr:col>
      <xdr:colOff>76200</xdr:colOff>
      <xdr:row>23</xdr:row>
      <xdr:rowOff>0</xdr:rowOff>
    </xdr:to>
    <xdr:sp>
      <xdr:nvSpPr>
        <xdr:cNvPr id="7" name="AutoShape 12"/>
        <xdr:cNvSpPr>
          <a:spLocks/>
        </xdr:cNvSpPr>
      </xdr:nvSpPr>
      <xdr:spPr>
        <a:xfrm flipV="1">
          <a:off x="8362950" y="2257425"/>
          <a:ext cx="0" cy="1285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66675</xdr:rowOff>
    </xdr:from>
    <xdr:to>
      <xdr:col>46</xdr:col>
      <xdr:colOff>0</xdr:colOff>
      <xdr:row>11</xdr:row>
      <xdr:rowOff>66675</xdr:rowOff>
    </xdr:to>
    <xdr:sp>
      <xdr:nvSpPr>
        <xdr:cNvPr id="8" name="AutoShape 13"/>
        <xdr:cNvSpPr>
          <a:spLocks/>
        </xdr:cNvSpPr>
      </xdr:nvSpPr>
      <xdr:spPr>
        <a:xfrm flipH="1">
          <a:off x="4572000" y="1895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1</xdr:row>
      <xdr:rowOff>114300</xdr:rowOff>
    </xdr:from>
    <xdr:ext cx="2524125" cy="581025"/>
    <xdr:sp>
      <xdr:nvSpPr>
        <xdr:cNvPr id="1" name="TextBox 193"/>
        <xdr:cNvSpPr txBox="1">
          <a:spLocks noChangeArrowheads="1"/>
        </xdr:cNvSpPr>
      </xdr:nvSpPr>
      <xdr:spPr>
        <a:xfrm>
          <a:off x="6362700" y="342900"/>
          <a:ext cx="2524125" cy="5810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ENSURE YOU HAVE SWITCHED ITERATIONS ON ELSE CIRCULAR AND GOAL SEEK MAY NOT CALCULATE CORRECTLY</a:t>
          </a:r>
        </a:p>
      </xdr:txBody>
    </xdr:sp>
    <xdr:clientData/>
  </xdr:oneCellAnchor>
  <xdr:oneCellAnchor>
    <xdr:from>
      <xdr:col>7</xdr:col>
      <xdr:colOff>485775</xdr:colOff>
      <xdr:row>6</xdr:row>
      <xdr:rowOff>57150</xdr:rowOff>
    </xdr:from>
    <xdr:ext cx="2228850" cy="1009650"/>
    <xdr:sp>
      <xdr:nvSpPr>
        <xdr:cNvPr id="2" name="TextBox 194"/>
        <xdr:cNvSpPr txBox="1">
          <a:spLocks noChangeArrowheads="1"/>
        </xdr:cNvSpPr>
      </xdr:nvSpPr>
      <xdr:spPr>
        <a:xfrm>
          <a:off x="2819400" y="1076325"/>
          <a:ext cx="2228850" cy="10096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/>
            <a:t>This check box affects calculations in columns H and I only.  Having the check box switched on enables the macro activated by the first macro button in cell I19 (i.e. macro-created circular argument).  Having the check box switched off makes Excel use the built-in circular argument calculation instead (macro not necessary).</a:t>
          </a:r>
        </a:p>
      </xdr:txBody>
    </xdr:sp>
    <xdr:clientData/>
  </xdr:oneCellAnchor>
  <xdr:oneCellAnchor>
    <xdr:from>
      <xdr:col>7</xdr:col>
      <xdr:colOff>485775</xdr:colOff>
      <xdr:row>13</xdr:row>
      <xdr:rowOff>66675</xdr:rowOff>
    </xdr:from>
    <xdr:ext cx="2228850" cy="342900"/>
    <xdr:sp>
      <xdr:nvSpPr>
        <xdr:cNvPr id="3" name="TextBox 195"/>
        <xdr:cNvSpPr txBox="1">
          <a:spLocks noChangeArrowheads="1"/>
        </xdr:cNvSpPr>
      </xdr:nvSpPr>
      <xdr:spPr>
        <a:xfrm>
          <a:off x="2819400" y="2152650"/>
          <a:ext cx="2228850" cy="342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/>
            <a:t>Governs the number of iterations employed in both macros</a:t>
          </a:r>
        </a:p>
      </xdr:txBody>
    </xdr:sp>
    <xdr:clientData/>
  </xdr:oneCellAnchor>
  <xdr:twoCellAnchor>
    <xdr:from>
      <xdr:col>6</xdr:col>
      <xdr:colOff>323850</xdr:colOff>
      <xdr:row>12</xdr:row>
      <xdr:rowOff>123825</xdr:rowOff>
    </xdr:from>
    <xdr:to>
      <xdr:col>7</xdr:col>
      <xdr:colOff>485775</xdr:colOff>
      <xdr:row>14</xdr:row>
      <xdr:rowOff>76200</xdr:rowOff>
    </xdr:to>
    <xdr:sp>
      <xdr:nvSpPr>
        <xdr:cNvPr id="4" name="AutoShape 196"/>
        <xdr:cNvSpPr>
          <a:spLocks/>
        </xdr:cNvSpPr>
      </xdr:nvSpPr>
      <xdr:spPr>
        <a:xfrm flipH="1" flipV="1">
          <a:off x="2038350" y="2047875"/>
          <a:ext cx="78105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114300</xdr:rowOff>
    </xdr:from>
    <xdr:to>
      <xdr:col>7</xdr:col>
      <xdr:colOff>485775</xdr:colOff>
      <xdr:row>10</xdr:row>
      <xdr:rowOff>66675</xdr:rowOff>
    </xdr:to>
    <xdr:sp>
      <xdr:nvSpPr>
        <xdr:cNvPr id="5" name="AutoShape 199"/>
        <xdr:cNvSpPr>
          <a:spLocks/>
        </xdr:cNvSpPr>
      </xdr:nvSpPr>
      <xdr:spPr>
        <a:xfrm flipH="1">
          <a:off x="2314575" y="1581150"/>
          <a:ext cx="5048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142875</xdr:colOff>
      <xdr:row>10</xdr:row>
      <xdr:rowOff>123825</xdr:rowOff>
    </xdr:from>
    <xdr:ext cx="971550" cy="219075"/>
    <xdr:sp>
      <xdr:nvSpPr>
        <xdr:cNvPr id="6" name="TextBox 200"/>
        <xdr:cNvSpPr txBox="1">
          <a:spLocks noChangeArrowheads="1"/>
        </xdr:cNvSpPr>
      </xdr:nvSpPr>
      <xdr:spPr>
        <a:xfrm>
          <a:off x="8953500" y="1743075"/>
          <a:ext cx="971550" cy="2190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>
              <a:latin typeface="Tahoma"/>
              <a:ea typeface="Tahoma"/>
              <a:cs typeface="Tahoma"/>
            </a:rPr>
            <a:t>Interest rate </a:t>
          </a:r>
          <a:r>
            <a:rPr lang="en-US" cap="none" sz="700" b="1" i="0" u="none" baseline="0">
              <a:latin typeface="Tahoma"/>
              <a:ea typeface="Tahoma"/>
              <a:cs typeface="Tahoma"/>
            </a:rPr>
            <a:t>r</a:t>
          </a:r>
        </a:p>
      </xdr:txBody>
    </xdr:sp>
    <xdr:clientData/>
  </xdr:oneCellAnchor>
  <xdr:oneCellAnchor>
    <xdr:from>
      <xdr:col>17</xdr:col>
      <xdr:colOff>142875</xdr:colOff>
      <xdr:row>14</xdr:row>
      <xdr:rowOff>66675</xdr:rowOff>
    </xdr:from>
    <xdr:ext cx="971550" cy="219075"/>
    <xdr:sp>
      <xdr:nvSpPr>
        <xdr:cNvPr id="7" name="TextBox 201"/>
        <xdr:cNvSpPr txBox="1">
          <a:spLocks noChangeArrowheads="1"/>
        </xdr:cNvSpPr>
      </xdr:nvSpPr>
      <xdr:spPr>
        <a:xfrm>
          <a:off x="8953500" y="2314575"/>
          <a:ext cx="971550" cy="2190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>
              <a:latin typeface="Tahoma"/>
              <a:ea typeface="Tahoma"/>
              <a:cs typeface="Tahoma"/>
            </a:rPr>
            <a:t>Tax rate </a:t>
          </a:r>
          <a:r>
            <a:rPr lang="en-US" cap="none" sz="700" b="1" i="0" u="none" baseline="0">
              <a:latin typeface="Tahoma"/>
              <a:ea typeface="Tahoma"/>
              <a:cs typeface="Tahoma"/>
            </a:rPr>
            <a:t>t</a:t>
          </a:r>
        </a:p>
      </xdr:txBody>
    </xdr:sp>
    <xdr:clientData/>
  </xdr:oneCellAnchor>
  <xdr:oneCellAnchor>
    <xdr:from>
      <xdr:col>17</xdr:col>
      <xdr:colOff>142875</xdr:colOff>
      <xdr:row>18</xdr:row>
      <xdr:rowOff>38100</xdr:rowOff>
    </xdr:from>
    <xdr:ext cx="971550" cy="219075"/>
    <xdr:sp>
      <xdr:nvSpPr>
        <xdr:cNvPr id="8" name="TextBox 202"/>
        <xdr:cNvSpPr txBox="1">
          <a:spLocks noChangeArrowheads="1"/>
        </xdr:cNvSpPr>
      </xdr:nvSpPr>
      <xdr:spPr>
        <a:xfrm>
          <a:off x="8953500" y="2886075"/>
          <a:ext cx="971550" cy="2190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>
              <a:latin typeface="Tahoma"/>
              <a:ea typeface="Tahoma"/>
              <a:cs typeface="Tahoma"/>
            </a:rPr>
            <a:t>Opening balance </a:t>
          </a:r>
          <a:r>
            <a:rPr lang="en-US" cap="none" sz="700" b="1" i="0" u="none" baseline="0">
              <a:latin typeface="Tahoma"/>
              <a:ea typeface="Tahoma"/>
              <a:cs typeface="Tahoma"/>
            </a:rPr>
            <a:t>OB</a:t>
          </a:r>
        </a:p>
      </xdr:txBody>
    </xdr:sp>
    <xdr:clientData/>
  </xdr:oneCellAnchor>
  <xdr:oneCellAnchor>
    <xdr:from>
      <xdr:col>17</xdr:col>
      <xdr:colOff>142875</xdr:colOff>
      <xdr:row>25</xdr:row>
      <xdr:rowOff>142875</xdr:rowOff>
    </xdr:from>
    <xdr:ext cx="971550" cy="219075"/>
    <xdr:sp>
      <xdr:nvSpPr>
        <xdr:cNvPr id="9" name="TextBox 203"/>
        <xdr:cNvSpPr txBox="1">
          <a:spLocks noChangeArrowheads="1"/>
        </xdr:cNvSpPr>
      </xdr:nvSpPr>
      <xdr:spPr>
        <a:xfrm>
          <a:off x="8953500" y="4029075"/>
          <a:ext cx="971550" cy="2190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>
              <a:latin typeface="Tahoma"/>
              <a:ea typeface="Tahoma"/>
              <a:cs typeface="Tahoma"/>
            </a:rPr>
            <a:t>Proportion </a:t>
          </a:r>
          <a:r>
            <a:rPr lang="en-US" cap="none" sz="700" b="1" i="0" u="none" baseline="0">
              <a:latin typeface="Tahoma"/>
              <a:ea typeface="Tahoma"/>
              <a:cs typeface="Tahoma"/>
            </a:rPr>
            <a:t>x</a:t>
          </a:r>
        </a:p>
      </xdr:txBody>
    </xdr:sp>
    <xdr:clientData/>
  </xdr:oneCellAnchor>
  <xdr:oneCellAnchor>
    <xdr:from>
      <xdr:col>17</xdr:col>
      <xdr:colOff>142875</xdr:colOff>
      <xdr:row>22</xdr:row>
      <xdr:rowOff>9525</xdr:rowOff>
    </xdr:from>
    <xdr:ext cx="971550" cy="219075"/>
    <xdr:sp>
      <xdr:nvSpPr>
        <xdr:cNvPr id="10" name="TextBox 204"/>
        <xdr:cNvSpPr txBox="1">
          <a:spLocks noChangeArrowheads="1"/>
        </xdr:cNvSpPr>
      </xdr:nvSpPr>
      <xdr:spPr>
        <a:xfrm>
          <a:off x="8953500" y="3457575"/>
          <a:ext cx="971550" cy="2190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>
              <a:latin typeface="Tahoma"/>
              <a:ea typeface="Tahoma"/>
              <a:cs typeface="Tahoma"/>
            </a:rPr>
            <a:t>Period movement </a:t>
          </a:r>
          <a:r>
            <a:rPr lang="en-US" cap="none" sz="700" b="1" i="0" u="none" baseline="0">
              <a:latin typeface="Tahoma"/>
              <a:ea typeface="Tahoma"/>
              <a:cs typeface="Tahoma"/>
            </a:rPr>
            <a:t>M</a:t>
          </a:r>
        </a:p>
      </xdr:txBody>
    </xdr:sp>
    <xdr:clientData/>
  </xdr:oneCellAnchor>
  <xdr:twoCellAnchor>
    <xdr:from>
      <xdr:col>16</xdr:col>
      <xdr:colOff>609600</xdr:colOff>
      <xdr:row>11</xdr:row>
      <xdr:rowOff>85725</xdr:rowOff>
    </xdr:from>
    <xdr:to>
      <xdr:col>17</xdr:col>
      <xdr:colOff>142875</xdr:colOff>
      <xdr:row>13</xdr:row>
      <xdr:rowOff>57150</xdr:rowOff>
    </xdr:to>
    <xdr:sp>
      <xdr:nvSpPr>
        <xdr:cNvPr id="11" name="AutoShape 205"/>
        <xdr:cNvSpPr>
          <a:spLocks/>
        </xdr:cNvSpPr>
      </xdr:nvSpPr>
      <xdr:spPr>
        <a:xfrm flipH="1">
          <a:off x="8801100" y="1857375"/>
          <a:ext cx="15240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14</xdr:row>
      <xdr:rowOff>76200</xdr:rowOff>
    </xdr:from>
    <xdr:to>
      <xdr:col>17</xdr:col>
      <xdr:colOff>142875</xdr:colOff>
      <xdr:row>15</xdr:row>
      <xdr:rowOff>19050</xdr:rowOff>
    </xdr:to>
    <xdr:sp>
      <xdr:nvSpPr>
        <xdr:cNvPr id="12" name="AutoShape 206"/>
        <xdr:cNvSpPr>
          <a:spLocks/>
        </xdr:cNvSpPr>
      </xdr:nvSpPr>
      <xdr:spPr>
        <a:xfrm flipH="1" flipV="1">
          <a:off x="8801100" y="2324100"/>
          <a:ext cx="152400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600075</xdr:colOff>
      <xdr:row>19</xdr:row>
      <xdr:rowOff>0</xdr:rowOff>
    </xdr:from>
    <xdr:to>
      <xdr:col>17</xdr:col>
      <xdr:colOff>142875</xdr:colOff>
      <xdr:row>19</xdr:row>
      <xdr:rowOff>66675</xdr:rowOff>
    </xdr:to>
    <xdr:sp>
      <xdr:nvSpPr>
        <xdr:cNvPr id="13" name="AutoShape 207"/>
        <xdr:cNvSpPr>
          <a:spLocks/>
        </xdr:cNvSpPr>
      </xdr:nvSpPr>
      <xdr:spPr>
        <a:xfrm flipH="1">
          <a:off x="8791575" y="3000375"/>
          <a:ext cx="161925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22</xdr:row>
      <xdr:rowOff>123825</xdr:rowOff>
    </xdr:from>
    <xdr:to>
      <xdr:col>17</xdr:col>
      <xdr:colOff>142875</xdr:colOff>
      <xdr:row>24</xdr:row>
      <xdr:rowOff>66675</xdr:rowOff>
    </xdr:to>
    <xdr:sp>
      <xdr:nvSpPr>
        <xdr:cNvPr id="14" name="AutoShape 208"/>
        <xdr:cNvSpPr>
          <a:spLocks/>
        </xdr:cNvSpPr>
      </xdr:nvSpPr>
      <xdr:spPr>
        <a:xfrm flipH="1">
          <a:off x="8801100" y="3571875"/>
          <a:ext cx="15240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26</xdr:row>
      <xdr:rowOff>85725</xdr:rowOff>
    </xdr:from>
    <xdr:to>
      <xdr:col>17</xdr:col>
      <xdr:colOff>142875</xdr:colOff>
      <xdr:row>26</xdr:row>
      <xdr:rowOff>95250</xdr:rowOff>
    </xdr:to>
    <xdr:sp>
      <xdr:nvSpPr>
        <xdr:cNvPr id="15" name="AutoShape 209"/>
        <xdr:cNvSpPr>
          <a:spLocks/>
        </xdr:cNvSpPr>
      </xdr:nvSpPr>
      <xdr:spPr>
        <a:xfrm flipH="1" flipV="1">
          <a:off x="8801100" y="4133850"/>
          <a:ext cx="152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590550</xdr:colOff>
      <xdr:row>31</xdr:row>
      <xdr:rowOff>104775</xdr:rowOff>
    </xdr:from>
    <xdr:ext cx="2228850" cy="381000"/>
    <xdr:sp>
      <xdr:nvSpPr>
        <xdr:cNvPr id="16" name="TextBox 210"/>
        <xdr:cNvSpPr txBox="1">
          <a:spLocks noChangeArrowheads="1"/>
        </xdr:cNvSpPr>
      </xdr:nvSpPr>
      <xdr:spPr>
        <a:xfrm>
          <a:off x="5838825" y="4914900"/>
          <a:ext cx="2228850" cy="381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>
              <a:latin typeface="Tahoma"/>
              <a:ea typeface="Tahoma"/>
              <a:cs typeface="Tahoma"/>
            </a:rPr>
            <a:t>Calculates average based on </a:t>
          </a:r>
          <a:r>
            <a:rPr lang="en-US" cap="none" sz="700" b="1" i="0" u="none" baseline="0">
              <a:latin typeface="Tahoma"/>
              <a:ea typeface="Tahoma"/>
              <a:cs typeface="Tahoma"/>
            </a:rPr>
            <a:t>x</a:t>
          </a:r>
          <a:r>
            <a:rPr lang="en-US" cap="none" sz="700" b="0" i="0" u="none" baseline="0">
              <a:latin typeface="Tahoma"/>
              <a:ea typeface="Tahoma"/>
              <a:cs typeface="Tahoma"/>
            </a:rPr>
            <a:t> (cell Q27), the proportion of the period</a:t>
          </a:r>
        </a:p>
      </xdr:txBody>
    </xdr:sp>
    <xdr:clientData/>
  </xdr:oneCellAnchor>
  <xdr:twoCellAnchor>
    <xdr:from>
      <xdr:col>12</xdr:col>
      <xdr:colOff>609600</xdr:colOff>
      <xdr:row>33</xdr:row>
      <xdr:rowOff>9525</xdr:rowOff>
    </xdr:from>
    <xdr:to>
      <xdr:col>13</xdr:col>
      <xdr:colOff>590550</xdr:colOff>
      <xdr:row>33</xdr:row>
      <xdr:rowOff>9525</xdr:rowOff>
    </xdr:to>
    <xdr:sp>
      <xdr:nvSpPr>
        <xdr:cNvPr id="17" name="AutoShape 211"/>
        <xdr:cNvSpPr>
          <a:spLocks/>
        </xdr:cNvSpPr>
      </xdr:nvSpPr>
      <xdr:spPr>
        <a:xfrm flipH="1">
          <a:off x="5238750" y="51054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590550</xdr:colOff>
      <xdr:row>34</xdr:row>
      <xdr:rowOff>133350</xdr:rowOff>
    </xdr:from>
    <xdr:ext cx="2228850" cy="200025"/>
    <xdr:sp>
      <xdr:nvSpPr>
        <xdr:cNvPr id="18" name="TextBox 212"/>
        <xdr:cNvSpPr txBox="1">
          <a:spLocks noChangeArrowheads="1"/>
        </xdr:cNvSpPr>
      </xdr:nvSpPr>
      <xdr:spPr>
        <a:xfrm>
          <a:off x="5838825" y="5372100"/>
          <a:ext cx="2228850" cy="2000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>
              <a:latin typeface="Tahoma"/>
              <a:ea typeface="Tahoma"/>
              <a:cs typeface="Tahoma"/>
            </a:rPr>
            <a:t>Target rate required by </a:t>
          </a:r>
          <a:r>
            <a:rPr lang="en-US" cap="none" sz="700" b="1" i="0" u="none" baseline="0">
              <a:latin typeface="Tahoma"/>
              <a:ea typeface="Tahoma"/>
              <a:cs typeface="Tahoma"/>
            </a:rPr>
            <a:t>r</a:t>
          </a:r>
          <a:r>
            <a:rPr lang="en-US" cap="none" sz="700" b="0" i="0" u="none" baseline="0">
              <a:latin typeface="Tahoma"/>
              <a:ea typeface="Tahoma"/>
              <a:cs typeface="Tahoma"/>
            </a:rPr>
            <a:t> (cell Q14)</a:t>
          </a:r>
        </a:p>
      </xdr:txBody>
    </xdr:sp>
    <xdr:clientData/>
  </xdr:oneCellAnchor>
  <xdr:twoCellAnchor>
    <xdr:from>
      <xdr:col>12</xdr:col>
      <xdr:colOff>590550</xdr:colOff>
      <xdr:row>35</xdr:row>
      <xdr:rowOff>95250</xdr:rowOff>
    </xdr:from>
    <xdr:to>
      <xdr:col>13</xdr:col>
      <xdr:colOff>590550</xdr:colOff>
      <xdr:row>36</xdr:row>
      <xdr:rowOff>28575</xdr:rowOff>
    </xdr:to>
    <xdr:sp>
      <xdr:nvSpPr>
        <xdr:cNvPr id="19" name="AutoShape 213"/>
        <xdr:cNvSpPr>
          <a:spLocks/>
        </xdr:cNvSpPr>
      </xdr:nvSpPr>
      <xdr:spPr>
        <a:xfrm flipH="1">
          <a:off x="5219700" y="5476875"/>
          <a:ext cx="619125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590550</xdr:colOff>
      <xdr:row>36</xdr:row>
      <xdr:rowOff>114300</xdr:rowOff>
    </xdr:from>
    <xdr:ext cx="2228850" cy="200025"/>
    <xdr:sp>
      <xdr:nvSpPr>
        <xdr:cNvPr id="20" name="TextBox 214"/>
        <xdr:cNvSpPr txBox="1">
          <a:spLocks noChangeArrowheads="1"/>
        </xdr:cNvSpPr>
      </xdr:nvSpPr>
      <xdr:spPr>
        <a:xfrm>
          <a:off x="5838825" y="5638800"/>
          <a:ext cx="2228850" cy="2000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/>
            <a:t>Actual rate, calculated as Interest / Ave Cash Balance</a:t>
          </a:r>
        </a:p>
      </xdr:txBody>
    </xdr:sp>
    <xdr:clientData/>
  </xdr:oneCellAnchor>
  <xdr:twoCellAnchor>
    <xdr:from>
      <xdr:col>12</xdr:col>
      <xdr:colOff>600075</xdr:colOff>
      <xdr:row>37</xdr:row>
      <xdr:rowOff>57150</xdr:rowOff>
    </xdr:from>
    <xdr:to>
      <xdr:col>13</xdr:col>
      <xdr:colOff>590550</xdr:colOff>
      <xdr:row>37</xdr:row>
      <xdr:rowOff>76200</xdr:rowOff>
    </xdr:to>
    <xdr:sp>
      <xdr:nvSpPr>
        <xdr:cNvPr id="21" name="AutoShape 215"/>
        <xdr:cNvSpPr>
          <a:spLocks/>
        </xdr:cNvSpPr>
      </xdr:nvSpPr>
      <xdr:spPr>
        <a:xfrm flipH="1" flipV="1">
          <a:off x="5229225" y="5724525"/>
          <a:ext cx="6096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590550</xdr:colOff>
      <xdr:row>38</xdr:row>
      <xdr:rowOff>104775</xdr:rowOff>
    </xdr:from>
    <xdr:ext cx="2228850" cy="200025"/>
    <xdr:sp>
      <xdr:nvSpPr>
        <xdr:cNvPr id="22" name="TextBox 216"/>
        <xdr:cNvSpPr txBox="1">
          <a:spLocks noChangeArrowheads="1"/>
        </xdr:cNvSpPr>
      </xdr:nvSpPr>
      <xdr:spPr>
        <a:xfrm>
          <a:off x="5838825" y="5915025"/>
          <a:ext cx="2228850" cy="2000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/>
            <a:t>Must be zero if calculated correctly</a:t>
          </a:r>
        </a:p>
      </xdr:txBody>
    </xdr:sp>
    <xdr:clientData/>
  </xdr:oneCellAnchor>
  <xdr:twoCellAnchor>
    <xdr:from>
      <xdr:col>12</xdr:col>
      <xdr:colOff>609600</xdr:colOff>
      <xdr:row>38</xdr:row>
      <xdr:rowOff>95250</xdr:rowOff>
    </xdr:from>
    <xdr:to>
      <xdr:col>13</xdr:col>
      <xdr:colOff>590550</xdr:colOff>
      <xdr:row>39</xdr:row>
      <xdr:rowOff>66675</xdr:rowOff>
    </xdr:to>
    <xdr:sp>
      <xdr:nvSpPr>
        <xdr:cNvPr id="23" name="AutoShape 217"/>
        <xdr:cNvSpPr>
          <a:spLocks/>
        </xdr:cNvSpPr>
      </xdr:nvSpPr>
      <xdr:spPr>
        <a:xfrm flipH="1" flipV="1">
          <a:off x="5238750" y="5905500"/>
          <a:ext cx="6000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17</xdr:row>
      <xdr:rowOff>66675</xdr:rowOff>
    </xdr:from>
    <xdr:ext cx="971550" cy="219075"/>
    <xdr:sp>
      <xdr:nvSpPr>
        <xdr:cNvPr id="24" name="TextBox 218"/>
        <xdr:cNvSpPr txBox="1">
          <a:spLocks noChangeArrowheads="1"/>
        </xdr:cNvSpPr>
      </xdr:nvSpPr>
      <xdr:spPr>
        <a:xfrm>
          <a:off x="4829175" y="2771775"/>
          <a:ext cx="971550" cy="2190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700" b="0" i="0" u="none" baseline="0"/>
            <a:t>CALCULATION</a:t>
          </a:r>
        </a:p>
      </xdr:txBody>
    </xdr:sp>
    <xdr:clientData/>
  </xdr:oneCellAnchor>
  <xdr:twoCellAnchor>
    <xdr:from>
      <xdr:col>12</xdr:col>
      <xdr:colOff>495300</xdr:colOff>
      <xdr:row>18</xdr:row>
      <xdr:rowOff>142875</xdr:rowOff>
    </xdr:from>
    <xdr:to>
      <xdr:col>13</xdr:col>
      <xdr:colOff>66675</xdr:colOff>
      <xdr:row>20</xdr:row>
      <xdr:rowOff>9525</xdr:rowOff>
    </xdr:to>
    <xdr:sp>
      <xdr:nvSpPr>
        <xdr:cNvPr id="25" name="AutoShape 219"/>
        <xdr:cNvSpPr>
          <a:spLocks/>
        </xdr:cNvSpPr>
      </xdr:nvSpPr>
      <xdr:spPr>
        <a:xfrm flipH="1">
          <a:off x="5124450" y="2990850"/>
          <a:ext cx="19050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5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10.83203125" style="0" customWidth="1"/>
    <col min="3" max="4" width="3.83203125" style="0" customWidth="1"/>
    <col min="5" max="16384" width="10.83203125" style="0" customWidth="1"/>
  </cols>
  <sheetData>
    <row r="1" ht="11.25">
      <c r="A1" s="7" t="s">
        <v>0</v>
      </c>
    </row>
    <row r="9" ht="18">
      <c r="C9" s="1" t="s">
        <v>153</v>
      </c>
    </row>
    <row r="10" ht="15.75">
      <c r="C10" s="55" t="str">
        <f>"Circular Reference Model"&amp;Err_Chks_Msg</f>
        <v>Circular Reference Model</v>
      </c>
    </row>
    <row r="11" spans="3:6" ht="11.25">
      <c r="C11" s="92" t="s">
        <v>1</v>
      </c>
      <c r="D11" s="92"/>
      <c r="E11" s="92"/>
      <c r="F11" s="92"/>
    </row>
    <row r="19" ht="11.25">
      <c r="C19" s="2" t="s">
        <v>175</v>
      </c>
    </row>
    <row r="21" ht="11.25">
      <c r="C21" s="2" t="s">
        <v>176</v>
      </c>
    </row>
    <row r="22" ht="11.25">
      <c r="C22" s="3" t="s">
        <v>179</v>
      </c>
    </row>
    <row r="24" spans="3:9" ht="11.25">
      <c r="C24" s="3" t="s">
        <v>177</v>
      </c>
      <c r="G24" s="92" t="s">
        <v>181</v>
      </c>
      <c r="H24" s="92"/>
      <c r="I24" s="92"/>
    </row>
    <row r="25" spans="3:9" ht="11.25">
      <c r="C25" s="3" t="s">
        <v>178</v>
      </c>
      <c r="G25" s="92" t="s">
        <v>182</v>
      </c>
      <c r="H25" s="92"/>
      <c r="I25" s="92"/>
    </row>
  </sheetData>
  <sheetProtection/>
  <mergeCells count="3">
    <mergeCell ref="G25:I25"/>
    <mergeCell ref="C11:F11"/>
    <mergeCell ref="G24:I24"/>
  </mergeCells>
  <hyperlinks>
    <hyperlink ref="C11" location="HL_Home" tooltip="Go to Table of Contents" display="HL_Home"/>
    <hyperlink ref="G24" r:id="rId1" display="liam.bastick@sumproduct.com"/>
    <hyperlink ref="G25" r:id="rId2" display="www.sumproduct.com"/>
  </hyperlinks>
  <printOptions/>
  <pageMargins left="0.393700787401575" right="0.393700787401575" top="0.5905511811023625" bottom="0.9842519685039375" header="0" footer="0.3149606299212597"/>
  <pageSetup fitToHeight="1" fitToWidth="1" horizontalDpi="300" verticalDpi="3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1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 outlineLevelRow="1"/>
  <cols>
    <col min="1" max="2" width="3.83203125" style="0" customWidth="1"/>
    <col min="3" max="5" width="10.83203125" style="0" hidden="1" customWidth="1"/>
    <col min="6" max="6" width="2.83203125" style="0" customWidth="1"/>
    <col min="7" max="7" width="10.83203125" style="0" hidden="1" customWidth="1"/>
    <col min="8" max="16" width="10.83203125" style="0" customWidth="1"/>
    <col min="18" max="16384" width="10.83203125" style="0" customWidth="1"/>
  </cols>
  <sheetData>
    <row r="1" spans="1:2" ht="18">
      <c r="A1" s="7" t="s">
        <v>6</v>
      </c>
      <c r="B1" s="11" t="s">
        <v>2</v>
      </c>
    </row>
    <row r="2" ht="15.75">
      <c r="B2" s="5" t="str">
        <f>Model_Name</f>
        <v>Circular Reference Model</v>
      </c>
    </row>
    <row r="3" spans="2:9" ht="11.25">
      <c r="B3" s="92" t="s">
        <v>3</v>
      </c>
      <c r="C3" s="92"/>
      <c r="D3" s="92"/>
      <c r="E3" s="92"/>
      <c r="F3" s="92"/>
      <c r="G3" s="92"/>
      <c r="H3" s="92"/>
      <c r="I3" s="92"/>
    </row>
    <row r="6" spans="1:17" s="20" customFormat="1" ht="12.75">
      <c r="A6" s="19" t="s">
        <v>4</v>
      </c>
      <c r="B6" s="82" t="s">
        <v>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 t="s">
        <v>164</v>
      </c>
    </row>
    <row r="7" ht="11.25">
      <c r="B7" s="8"/>
    </row>
    <row r="8" spans="6:17" s="85" customFormat="1" ht="11.25" outlineLevel="1">
      <c r="F8" s="93" t="s">
        <v>118</v>
      </c>
      <c r="G8" s="93"/>
      <c r="H8" s="94" t="str">
        <f>Circ_Diag_MS!B1</f>
        <v>Interest on Average Cash Balance - How the Circular Occurs</v>
      </c>
      <c r="I8" s="94"/>
      <c r="J8" s="94"/>
      <c r="K8" s="94"/>
      <c r="L8" s="94"/>
      <c r="M8" s="94"/>
      <c r="N8" s="94"/>
      <c r="O8" s="94"/>
      <c r="P8" s="94"/>
      <c r="Q8" s="86">
        <v>3</v>
      </c>
    </row>
    <row r="9" spans="6:17" s="85" customFormat="1" ht="11.25" outlineLevel="1">
      <c r="F9" s="93" t="s">
        <v>131</v>
      </c>
      <c r="G9" s="93"/>
      <c r="H9" s="94" t="str">
        <f>Int_Rev_BO!B1</f>
        <v>Interest on Average Cash Balance Calculation</v>
      </c>
      <c r="I9" s="94"/>
      <c r="J9" s="94"/>
      <c r="K9" s="94"/>
      <c r="L9" s="94"/>
      <c r="M9" s="94"/>
      <c r="N9" s="94"/>
      <c r="O9" s="94"/>
      <c r="P9" s="94"/>
      <c r="Q9" s="86">
        <v>4</v>
      </c>
    </row>
    <row r="11" spans="2:17" ht="12">
      <c r="B11" s="48" t="s">
        <v>165</v>
      </c>
      <c r="Q11" s="87">
        <v>4</v>
      </c>
    </row>
  </sheetData>
  <sheetProtection sheet="1" objects="1" scenarios="1"/>
  <mergeCells count="5">
    <mergeCell ref="B3:I3"/>
    <mergeCell ref="F8:G8"/>
    <mergeCell ref="H8:P8"/>
    <mergeCell ref="F9:G9"/>
    <mergeCell ref="H9:P9"/>
  </mergeCells>
  <hyperlinks>
    <hyperlink ref="F8" location="'Circ_Diag_MS'!A1" tooltip="Go to Calculation Schematic" display="'Circ_Diag_MS'!A1"/>
    <hyperlink ref="H8" location="'Circ_Diag_MS'!A1" tooltip="Go to Calculation Schematic" display="'Circ_Diag_MS'!A1"/>
    <hyperlink ref="F9" location="'Int_Rev_BO'!A1" tooltip="Go to Interest on Average Cash Balance Calculation" display="'Int_Rev_BO'!A1"/>
    <hyperlink ref="H9" location="'Int_Rev_BO'!A1" tooltip="Go to Interest on Average Cash Balance Calculation" display="'Int_Rev_BO'!A1"/>
    <hyperlink ref="Q8" location="'Circ_Diag_MS'!A1" tooltip="Go to Calculation Schematic" display="'Circ_Diag_MS'!A1"/>
    <hyperlink ref="Q9" location="'Int_Rev_BO'!A1" tooltip="Go to Interest on Average Cash Balance Calculation" display="'Int_Rev_BO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S28"/>
  <sheetViews>
    <sheetView showGridLines="0" zoomScale="75" zoomScaleNormal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3.83203125" style="0" customWidth="1"/>
    <col min="2" max="12" width="2.5" style="0" customWidth="1"/>
    <col min="13" max="13" width="2.66015625" style="0" customWidth="1"/>
    <col min="14" max="14" width="2.5" style="0" customWidth="1"/>
    <col min="15" max="15" width="2.66015625" style="0" customWidth="1"/>
    <col min="16" max="28" width="2.5" style="0" customWidth="1"/>
    <col min="29" max="29" width="0.82421875" style="0" customWidth="1"/>
    <col min="30" max="16384" width="2.5" style="0" customWidth="1"/>
  </cols>
  <sheetData>
    <row r="1" spans="1:2" ht="18">
      <c r="A1" s="7" t="s">
        <v>115</v>
      </c>
      <c r="B1" s="1" t="s">
        <v>168</v>
      </c>
    </row>
    <row r="2" ht="15.75">
      <c r="B2" s="5" t="str">
        <f>Model_Name</f>
        <v>Circular Reference Model</v>
      </c>
    </row>
    <row r="3" spans="2:13" ht="11.2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4"/>
    </row>
    <row r="4" spans="1:13" ht="12.75">
      <c r="A4" s="9" t="s">
        <v>4</v>
      </c>
      <c r="B4" s="98" t="s">
        <v>8</v>
      </c>
      <c r="C4" s="98"/>
      <c r="D4" s="99" t="s">
        <v>9</v>
      </c>
      <c r="E4" s="99"/>
      <c r="F4" s="99"/>
      <c r="G4" s="99"/>
      <c r="H4" s="97"/>
      <c r="I4" s="97"/>
      <c r="J4" s="97"/>
      <c r="K4" s="97"/>
      <c r="L4" s="97"/>
      <c r="M4" s="97"/>
    </row>
    <row r="5" ht="11.25">
      <c r="B5" s="8"/>
    </row>
    <row r="6" spans="3:5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2:57" ht="12.75">
      <c r="B7" s="35"/>
      <c r="C7" s="20"/>
      <c r="D7" s="20"/>
      <c r="E7" s="20"/>
      <c r="F7" s="20"/>
      <c r="G7" s="20"/>
      <c r="H7" s="20"/>
      <c r="I7" s="20"/>
      <c r="J7" s="20"/>
      <c r="K7" s="20"/>
      <c r="L7" s="2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2:57" ht="12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2:57" ht="12.7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35"/>
      <c r="N9" s="35"/>
      <c r="O9" s="35"/>
      <c r="P9" s="35"/>
      <c r="Q9" s="35"/>
      <c r="R9" s="35"/>
      <c r="S9" s="35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2:71" ht="12.75">
      <c r="B10" s="30"/>
      <c r="C10" s="20"/>
      <c r="D10" s="37"/>
      <c r="E10" s="37"/>
      <c r="F10" s="37"/>
      <c r="G10" s="20"/>
      <c r="H10" s="95" t="s">
        <v>167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95" t="s">
        <v>166</v>
      </c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</row>
    <row r="11" spans="2:71" ht="11.25" customHeight="1">
      <c r="B11" s="20"/>
      <c r="C11" s="20"/>
      <c r="D11" s="37"/>
      <c r="E11" s="37"/>
      <c r="F11" s="37"/>
      <c r="G11" s="20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</row>
    <row r="12" spans="2:71" ht="11.25" customHeight="1">
      <c r="B12" s="20"/>
      <c r="C12" s="20"/>
      <c r="D12" s="39"/>
      <c r="E12" s="39"/>
      <c r="F12" s="39"/>
      <c r="G12" s="20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</row>
    <row r="13" spans="2:71" ht="11.25" customHeight="1">
      <c r="B13" s="20"/>
      <c r="C13" s="20"/>
      <c r="D13" s="37"/>
      <c r="E13" s="37"/>
      <c r="F13" s="37"/>
      <c r="G13" s="20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</row>
    <row r="14" spans="2:71" ht="11.25" customHeight="1">
      <c r="B14" s="20"/>
      <c r="C14" s="20"/>
      <c r="D14" s="37"/>
      <c r="E14" s="37"/>
      <c r="F14" s="37"/>
      <c r="G14" s="20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</row>
    <row r="15" spans="10:19" ht="11.25"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0:19" ht="11.25"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0:19" ht="11.25"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33:46" ht="11.25" customHeight="1"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33:46" ht="11.25" customHeight="1"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33:46" ht="11.25" customHeight="1"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4" spans="8:71" ht="11.25">
      <c r="H24" s="95" t="s">
        <v>180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U24" s="96" t="s">
        <v>152</v>
      </c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</row>
    <row r="25" spans="8:71" ht="11.25"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</row>
    <row r="26" spans="8:71" ht="11.25"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</row>
    <row r="27" spans="8:71" ht="11.25"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</row>
    <row r="28" spans="8:71" ht="11.25"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</row>
  </sheetData>
  <sheetProtection sheet="1" objects="1" scenarios="1"/>
  <mergeCells count="10">
    <mergeCell ref="B3:L3"/>
    <mergeCell ref="L4:M4"/>
    <mergeCell ref="B4:C4"/>
    <mergeCell ref="D4:G4"/>
    <mergeCell ref="H4:I4"/>
    <mergeCell ref="J4:K4"/>
    <mergeCell ref="H10:AF14"/>
    <mergeCell ref="H24:AF28"/>
    <mergeCell ref="AU24:BS28"/>
    <mergeCell ref="AU10:BS14"/>
  </mergeCells>
  <hyperlinks>
    <hyperlink ref="B3" location="HL_Home" tooltip="Go to Table of Contents" display="HL_Home"/>
    <hyperlink ref="A4" location="$B$5" tooltip="Go to Top of Sheet" display="$B$5"/>
    <hyperlink ref="D4" location="'Int_Rev_BO'!A1" tooltip="Go to Next Sheet" display="'Int_Rev_BO'!A1"/>
    <hyperlink ref="B4" location="'Contents'!A1" tooltip="Go to Previous Sheet" display="'Contents'!A1"/>
  </hyperlinks>
  <printOptions/>
  <pageMargins left="0.393700787401575" right="0.393700787401575" top="0.5905511811023625" bottom="0.9842519685039375" header="0" footer="0.3149606299212597"/>
  <pageSetup fitToHeight="1" fitToWidth="1" horizontalDpi="300" verticalDpi="300" orientation="landscape" paperSize="9" r:id="rId2"/>
  <headerFooter alignWithMargins="0">
    <oddFooter>&amp;L&amp;"Arial,Bold"&amp;7&amp;F
&amp;A
Printed: &amp;T on &amp;D&amp;C&amp;"Arial,Bold"&amp;10Page &amp;P of &amp;N&amp;RSumProduct Pty Ltd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R44"/>
  <sheetViews>
    <sheetView showGridLines="0" zoomScaleSheetLayoutView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5" width="3.83203125" style="20" customWidth="1"/>
    <col min="6" max="9" width="10.83203125" style="20" customWidth="1"/>
    <col min="10" max="10" width="3.83203125" style="20" customWidth="1"/>
    <col min="11" max="11" width="10.83203125" style="20" customWidth="1"/>
    <col min="12" max="12" width="3.83203125" style="20" customWidth="1"/>
    <col min="13" max="14" width="10.83203125" style="20" customWidth="1"/>
    <col min="15" max="15" width="3.83203125" style="20" customWidth="1"/>
    <col min="16" max="16" width="36.83203125" style="20" customWidth="1"/>
    <col min="17" max="17" width="10.83203125" style="20" customWidth="1"/>
    <col min="18" max="18" width="3.83203125" style="20" customWidth="1"/>
    <col min="19" max="16384" width="10.83203125" style="20" customWidth="1"/>
  </cols>
  <sheetData>
    <row r="1" spans="1:2" ht="18">
      <c r="A1" s="22" t="s">
        <v>121</v>
      </c>
      <c r="B1" s="23" t="s">
        <v>163</v>
      </c>
    </row>
    <row r="2" ht="15.75">
      <c r="B2" s="24" t="str">
        <f>Model_Name</f>
        <v>Circular Reference Model</v>
      </c>
    </row>
    <row r="3" spans="2:6" ht="11.25">
      <c r="B3" s="100" t="s">
        <v>1</v>
      </c>
      <c r="C3" s="100"/>
      <c r="D3" s="100"/>
      <c r="E3" s="100"/>
      <c r="F3" s="100"/>
    </row>
    <row r="4" spans="1:6" ht="12.75">
      <c r="A4" s="19" t="s">
        <v>4</v>
      </c>
      <c r="B4" s="25" t="s">
        <v>8</v>
      </c>
      <c r="C4" s="26"/>
      <c r="F4" s="27"/>
    </row>
    <row r="5" ht="11.25">
      <c r="B5" s="28"/>
    </row>
    <row r="6" spans="2:13" ht="11.25">
      <c r="B6" s="29"/>
      <c r="I6" s="44" t="s">
        <v>155</v>
      </c>
      <c r="J6" s="72"/>
      <c r="K6" s="44" t="s">
        <v>156</v>
      </c>
      <c r="L6" s="72"/>
      <c r="M6" s="44" t="s">
        <v>157</v>
      </c>
    </row>
    <row r="7" ht="11.25">
      <c r="B7" s="28"/>
    </row>
    <row r="8" ht="11.25"/>
    <row r="9" spans="2:18" ht="12.75">
      <c r="B9" s="30" t="s">
        <v>169</v>
      </c>
      <c r="O9" s="101" t="s">
        <v>116</v>
      </c>
      <c r="P9" s="102"/>
      <c r="Q9" s="102"/>
      <c r="R9" s="103"/>
    </row>
    <row r="10" spans="2:18" ht="12">
      <c r="B10" s="30"/>
      <c r="I10" s="31"/>
      <c r="K10" s="76"/>
      <c r="O10" s="57"/>
      <c r="P10" s="58"/>
      <c r="Q10" s="58"/>
      <c r="R10" s="59"/>
    </row>
    <row r="11" spans="3:18" ht="12">
      <c r="C11" s="71" t="b">
        <v>1</v>
      </c>
      <c r="I11" s="88">
        <f>IF(LO_Err_Chks_Cust_1_Err_Chk&lt;&gt;0,"Run Macro","")</f>
      </c>
      <c r="K11" s="88">
        <f>IF(LO_Err_Chks_Cust_2_Err_Chk&lt;&gt;0,"Run Macro","")</f>
      </c>
      <c r="O11" s="60" t="s">
        <v>125</v>
      </c>
      <c r="P11" s="58"/>
      <c r="Q11" s="58"/>
      <c r="R11" s="59"/>
    </row>
    <row r="12" spans="2:18" ht="12">
      <c r="B12" s="30"/>
      <c r="I12" s="31"/>
      <c r="K12" s="76"/>
      <c r="O12" s="57"/>
      <c r="P12" s="58"/>
      <c r="Q12" s="58"/>
      <c r="R12" s="59"/>
    </row>
    <row r="13" spans="2:18" ht="12.75" thickBot="1">
      <c r="B13" s="30"/>
      <c r="D13" s="36" t="s">
        <v>160</v>
      </c>
      <c r="G13" s="77">
        <v>10</v>
      </c>
      <c r="I13" s="31"/>
      <c r="K13" s="76"/>
      <c r="O13" s="57"/>
      <c r="P13" s="61" t="s">
        <v>123</v>
      </c>
      <c r="Q13" s="62" t="s">
        <v>124</v>
      </c>
      <c r="R13" s="59"/>
    </row>
    <row r="14" spans="2:18" ht="12.75" thickBot="1">
      <c r="B14" s="30"/>
      <c r="I14" s="31"/>
      <c r="K14" s="76"/>
      <c r="O14" s="57"/>
      <c r="P14" s="21" t="s">
        <v>154</v>
      </c>
      <c r="Q14" s="63">
        <v>0.05</v>
      </c>
      <c r="R14" s="59"/>
    </row>
    <row r="15" spans="2:18" ht="12.75" thickBot="1">
      <c r="B15" s="30"/>
      <c r="C15" s="30" t="s">
        <v>129</v>
      </c>
      <c r="O15" s="57"/>
      <c r="P15" s="21" t="s">
        <v>122</v>
      </c>
      <c r="Q15" s="63">
        <v>0.3</v>
      </c>
      <c r="R15" s="59"/>
    </row>
    <row r="16" spans="15:18" ht="11.25">
      <c r="O16" s="57"/>
      <c r="P16" s="58"/>
      <c r="Q16" s="58"/>
      <c r="R16" s="59"/>
    </row>
    <row r="17" spans="2:18" ht="12">
      <c r="B17" s="30"/>
      <c r="D17" s="36" t="s">
        <v>171</v>
      </c>
      <c r="I17" s="40">
        <f>Non_Interest_Movement</f>
        <v>100</v>
      </c>
      <c r="K17" s="40">
        <f>Non_Interest_Movement</f>
        <v>100</v>
      </c>
      <c r="M17" s="40">
        <f>Non_Interest_Movement</f>
        <v>100</v>
      </c>
      <c r="O17" s="60" t="s">
        <v>126</v>
      </c>
      <c r="P17" s="58"/>
      <c r="Q17" s="58"/>
      <c r="R17" s="59"/>
    </row>
    <row r="18" spans="4:18" ht="11.25">
      <c r="D18" s="74" t="s">
        <v>159</v>
      </c>
      <c r="H18" s="40">
        <f>(Opening_Balance*Proportion_of_Period+(1-Proportion_of_Period)*I32)*Cash_Rate</f>
        <v>4.325699745547074</v>
      </c>
      <c r="K18" s="73"/>
      <c r="M18" s="73"/>
      <c r="O18" s="57"/>
      <c r="P18" s="58"/>
      <c r="Q18" s="58"/>
      <c r="R18" s="59"/>
    </row>
    <row r="19" spans="2:18" ht="12" thickBot="1">
      <c r="D19" s="74" t="s">
        <v>158</v>
      </c>
      <c r="H19" s="90">
        <v>3.4047919293820934</v>
      </c>
      <c r="K19" s="73"/>
      <c r="M19" s="73"/>
      <c r="O19" s="57"/>
      <c r="P19" s="61" t="s">
        <v>123</v>
      </c>
      <c r="Q19" s="62" t="s">
        <v>127</v>
      </c>
      <c r="R19" s="59"/>
    </row>
    <row r="20" spans="4:18" ht="12" thickBot="1">
      <c r="D20" s="74" t="s">
        <v>174</v>
      </c>
      <c r="H20" s="75">
        <f>H18-H19</f>
        <v>0.9209078161649806</v>
      </c>
      <c r="K20" s="73"/>
      <c r="M20" s="73"/>
      <c r="O20" s="57"/>
      <c r="P20" s="21" t="s">
        <v>130</v>
      </c>
      <c r="Q20" s="64">
        <v>50</v>
      </c>
      <c r="R20" s="59"/>
    </row>
    <row r="21" spans="4:18" ht="11.25">
      <c r="D21" s="37" t="s">
        <v>132</v>
      </c>
      <c r="I21" s="40">
        <f>IF(CB_Inc_Circular,H18,H19)</f>
        <v>4.325699745547074</v>
      </c>
      <c r="K21" s="90">
        <v>4.325699745547074</v>
      </c>
      <c r="M21" s="91">
        <f>(Opening_Balance*Cash_Rate+(1-Proportion_of_Period)*Non_Interest_Movement*(1-Tax_Rate)*Cash_Rate)/(1-(1-Proportion_of_Period)*(1-Tax_Rate)*Cash_Rate)</f>
        <v>4.325699745547074</v>
      </c>
      <c r="O21" s="57"/>
      <c r="P21" s="58"/>
      <c r="Q21" s="58"/>
      <c r="R21" s="59"/>
    </row>
    <row r="22" spans="4:18" ht="12">
      <c r="D22" s="39" t="s">
        <v>172</v>
      </c>
      <c r="I22" s="34">
        <f>SUM(I17,I21)</f>
        <v>104.32569974554707</v>
      </c>
      <c r="K22" s="34">
        <f>SUM(K17:K21)</f>
        <v>104.32569974554707</v>
      </c>
      <c r="M22" s="34">
        <f>SUM(M17:M21)</f>
        <v>104.32569974554707</v>
      </c>
      <c r="O22" s="60" t="s">
        <v>128</v>
      </c>
      <c r="P22" s="58"/>
      <c r="Q22" s="58"/>
      <c r="R22" s="59"/>
    </row>
    <row r="23" spans="4:18" ht="11.25">
      <c r="D23" s="37" t="s">
        <v>173</v>
      </c>
      <c r="I23" s="41">
        <f>MIN(0,-SUM(I22)*Tax_Rate)</f>
        <v>-31.29770992366412</v>
      </c>
      <c r="K23" s="41">
        <f>MIN(0,-SUM(K22)*Tax_Rate)</f>
        <v>-31.29770992366412</v>
      </c>
      <c r="M23" s="41">
        <f>MIN(0,-SUM(M22)*Tax_Rate)</f>
        <v>-31.29770992366412</v>
      </c>
      <c r="O23" s="57"/>
      <c r="P23" s="58"/>
      <c r="Q23" s="58"/>
      <c r="R23" s="59"/>
    </row>
    <row r="24" spans="4:18" ht="12" thickBot="1">
      <c r="D24" s="36" t="s">
        <v>135</v>
      </c>
      <c r="I24" s="43">
        <f>SUM(I22:I23)</f>
        <v>73.02798982188295</v>
      </c>
      <c r="K24" s="43">
        <f>SUM(K22:K23)</f>
        <v>73.02798982188295</v>
      </c>
      <c r="M24" s="43">
        <f>SUM(M22:M23)</f>
        <v>73.02798982188295</v>
      </c>
      <c r="O24" s="57"/>
      <c r="P24" s="61" t="s">
        <v>123</v>
      </c>
      <c r="Q24" s="62" t="s">
        <v>127</v>
      </c>
      <c r="R24" s="59"/>
    </row>
    <row r="25" spans="4:18" ht="11.25">
      <c r="D25" s="39"/>
      <c r="I25" s="40"/>
      <c r="O25" s="57"/>
      <c r="P25" s="78" t="s">
        <v>161</v>
      </c>
      <c r="Q25" s="79">
        <v>100</v>
      </c>
      <c r="R25" s="59"/>
    </row>
    <row r="26" spans="2:18" ht="12.75" thickBot="1">
      <c r="B26" s="30" t="s">
        <v>170</v>
      </c>
      <c r="I26"/>
      <c r="J26"/>
      <c r="K26"/>
      <c r="O26" s="57"/>
      <c r="P26" s="58"/>
      <c r="Q26" s="58"/>
      <c r="R26" s="59"/>
    </row>
    <row r="27" spans="2:18" ht="13.5" thickBot="1">
      <c r="B27" s="30"/>
      <c r="I27" s="40"/>
      <c r="O27" s="80" t="s">
        <v>162</v>
      </c>
      <c r="P27" s="58"/>
      <c r="Q27" s="81">
        <v>0.5</v>
      </c>
      <c r="R27" s="59"/>
    </row>
    <row r="28" spans="2:18" ht="12">
      <c r="B28" s="30"/>
      <c r="C28" s="30" t="s">
        <v>134</v>
      </c>
      <c r="I28" s="40"/>
      <c r="O28" s="57"/>
      <c r="P28" s="58"/>
      <c r="Q28" s="58"/>
      <c r="R28" s="59"/>
    </row>
    <row r="29" spans="9:18" ht="11.25">
      <c r="I29" s="40"/>
      <c r="O29" s="65"/>
      <c r="P29" s="66"/>
      <c r="Q29" s="66"/>
      <c r="R29" s="67"/>
    </row>
    <row r="30" spans="2:13" ht="12">
      <c r="B30" s="30"/>
      <c r="D30" s="36" t="s">
        <v>136</v>
      </c>
      <c r="I30" s="40">
        <f>$Q$20</f>
        <v>50</v>
      </c>
      <c r="K30" s="40">
        <f>$Q$20</f>
        <v>50</v>
      </c>
      <c r="M30" s="40">
        <f>$Q$20</f>
        <v>50</v>
      </c>
    </row>
    <row r="31" spans="4:13" ht="11.25">
      <c r="D31" s="42" t="str">
        <f>D24</f>
        <v>Change in Cash Held</v>
      </c>
      <c r="I31" s="40">
        <f>I24</f>
        <v>73.02798982188295</v>
      </c>
      <c r="K31" s="40">
        <f>K24</f>
        <v>73.02798982188295</v>
      </c>
      <c r="M31" s="40">
        <f>M24</f>
        <v>73.02798982188295</v>
      </c>
    </row>
    <row r="32" spans="4:13" ht="11.25">
      <c r="D32" s="39" t="s">
        <v>137</v>
      </c>
      <c r="I32" s="34">
        <f>SUM(I30:I31)</f>
        <v>123.02798982188295</v>
      </c>
      <c r="K32" s="34">
        <f>SUM(K30:K31)</f>
        <v>123.02798982188295</v>
      </c>
      <c r="M32" s="34">
        <f>SUM(M30:M31)</f>
        <v>123.02798982188295</v>
      </c>
    </row>
    <row r="33" ht="11.25"/>
    <row r="34" spans="4:13" s="68" customFormat="1" ht="11.25">
      <c r="D34" s="69" t="s">
        <v>138</v>
      </c>
      <c r="I34" s="70">
        <f>I30*$Q$27+(1-$Q$27)*I32</f>
        <v>86.51399491094148</v>
      </c>
      <c r="J34" s="70"/>
      <c r="K34" s="70">
        <f>K30*$Q$27+(1-$Q$27)*K32</f>
        <v>86.51399491094148</v>
      </c>
      <c r="L34" s="70"/>
      <c r="M34" s="70">
        <f>M30*$Q$27+(1-$Q$27)*M32</f>
        <v>86.51399491094148</v>
      </c>
    </row>
    <row r="35" s="68" customFormat="1" ht="11.25"/>
    <row r="36" spans="4:8" s="68" customFormat="1" ht="11.25">
      <c r="D36" s="36" t="s">
        <v>154</v>
      </c>
      <c r="E36" s="20"/>
      <c r="F36" s="20"/>
      <c r="G36" s="20"/>
      <c r="H36" s="20"/>
    </row>
    <row r="37" spans="4:13" s="68" customFormat="1" ht="11.25">
      <c r="D37" s="37" t="s">
        <v>151</v>
      </c>
      <c r="E37" s="20"/>
      <c r="F37" s="20"/>
      <c r="I37" s="45">
        <f>Cash_Rate</f>
        <v>0.05</v>
      </c>
      <c r="K37" s="45">
        <f>Cash_Rate</f>
        <v>0.05</v>
      </c>
      <c r="M37" s="45">
        <f>Cash_Rate</f>
        <v>0.05</v>
      </c>
    </row>
    <row r="38" spans="4:13" s="68" customFormat="1" ht="11.25">
      <c r="D38" s="37" t="s">
        <v>133</v>
      </c>
      <c r="E38" s="20"/>
      <c r="F38" s="20"/>
      <c r="I38" s="45">
        <f>I21/I34</f>
        <v>0.05</v>
      </c>
      <c r="K38" s="45">
        <f>K21/K34</f>
        <v>0.05</v>
      </c>
      <c r="M38" s="45">
        <f>M21/M34</f>
        <v>0.05</v>
      </c>
    </row>
    <row r="39" spans="4:13" ht="11.25">
      <c r="D39" s="36" t="s">
        <v>139</v>
      </c>
      <c r="I39" s="46">
        <f>I37-I38</f>
        <v>0</v>
      </c>
      <c r="J39" s="45"/>
      <c r="K39" s="46">
        <f>K37-K38</f>
        <v>0</v>
      </c>
      <c r="M39" s="46">
        <f>M37-M38</f>
        <v>0</v>
      </c>
    </row>
    <row r="40" spans="4:8" ht="11.25">
      <c r="D40" s="38"/>
      <c r="G40" s="45"/>
      <c r="H40" s="45"/>
    </row>
    <row r="41" spans="2:8" ht="12">
      <c r="B41" s="30" t="s">
        <v>140</v>
      </c>
      <c r="D41" s="38"/>
      <c r="G41" s="45"/>
      <c r="H41" s="45"/>
    </row>
    <row r="42" spans="4:8" ht="11.25">
      <c r="D42" s="38"/>
      <c r="G42" s="45"/>
      <c r="H42" s="45"/>
    </row>
    <row r="43" spans="3:13" ht="11.25">
      <c r="C43" s="37" t="s">
        <v>141</v>
      </c>
      <c r="H43" s="45"/>
      <c r="I43" s="89">
        <f>IF(ROUND(Int_Diff_1,3)&lt;&gt;0,1,0)</f>
        <v>0</v>
      </c>
      <c r="K43" s="89">
        <f>IF(ROUND(Int_Diff_2,3)&lt;&gt;0,1,0)</f>
        <v>0</v>
      </c>
      <c r="M43" s="89">
        <f>IF(ROUND(Int_Diff_3,3)&lt;&gt;0,1,0)</f>
        <v>0</v>
      </c>
    </row>
    <row r="44" spans="4:8" ht="11.25">
      <c r="D44" s="38"/>
      <c r="G44" s="45"/>
      <c r="H44" s="45"/>
    </row>
  </sheetData>
  <sheetProtection sheet="1" objects="1" scenarios="1"/>
  <mergeCells count="2">
    <mergeCell ref="B3:F3"/>
    <mergeCell ref="O9:R9"/>
  </mergeCells>
  <conditionalFormatting sqref="K43 I43 M43">
    <cfRule type="cellIs" priority="1" dxfId="0" operator="notEqual" stopIfTrue="1">
      <formula>0</formula>
    </cfRule>
  </conditionalFormatting>
  <dataValidations count="2">
    <dataValidation type="decimal" showErrorMessage="1" errorTitle="Invalid Assumption" error="Assumption must be between 0% and 100%." sqref="Q27 Q14:Q15">
      <formula1>0</formula1>
      <formula2>1</formula2>
    </dataValidation>
    <dataValidation type="whole" showErrorMessage="1" errorTitle="Spin Button Cell Link" error="The value in a spin button cell link must be between the control's minimum and maximum allowed values." sqref="G13">
      <formula1>0</formula1>
      <formula2>100</formula2>
    </dataValidation>
  </dataValidations>
  <hyperlinks>
    <hyperlink ref="B3" location="HL_Home" tooltip="Go to Table of Contents" display="HL_Home"/>
    <hyperlink ref="A4" location="$B$19" tooltip="Go to Top of Sheet" display="$B$19"/>
    <hyperlink ref="B4" location="'Circ_Diag_MS'!A1" tooltip="Go to Previous Sheet" display="'Circ_Diag_MS'!A1"/>
  </hyperlinks>
  <printOptions/>
  <pageMargins left="0.393700787401575" right="0.393700787401575" top="0.5905511811023625" bottom="0.9842519685039375" header="0" footer="0.3149606299212597"/>
  <pageSetup horizontalDpi="300" verticalDpi="300" orientation="landscape" paperSize="9" scale="94" r:id="rId4"/>
  <headerFooter alignWithMargins="0">
    <oddFooter>&amp;L&amp;"Arial,Bold"&amp;7&amp;F
&amp;A
Printed: &amp;T on &amp;D&amp;C&amp;"Arial,Bold"&amp;10Page &amp;P of &amp;N&amp;RSumProduct Pty Ltd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2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83203125" style="0" customWidth="1"/>
    <col min="3" max="4" width="3.83203125" style="0" customWidth="1"/>
    <col min="5" max="16384" width="10.83203125" style="0" customWidth="1"/>
  </cols>
  <sheetData>
    <row r="1" ht="11.25">
      <c r="A1" s="7" t="s">
        <v>114</v>
      </c>
    </row>
    <row r="9" ht="18">
      <c r="C9" s="1" t="s">
        <v>143</v>
      </c>
    </row>
    <row r="10" ht="16.5">
      <c r="C10" s="17" t="s">
        <v>119</v>
      </c>
    </row>
    <row r="11" ht="15.75">
      <c r="C11" s="5" t="str">
        <f>Model_Name</f>
        <v>Circular Reference Model</v>
      </c>
    </row>
    <row r="12" spans="3:6" ht="11.25">
      <c r="C12" s="92" t="s">
        <v>1</v>
      </c>
      <c r="D12" s="92"/>
      <c r="E12" s="92"/>
      <c r="F12" s="92"/>
    </row>
    <row r="13" spans="3:4" ht="12.75">
      <c r="C13" s="12" t="s">
        <v>8</v>
      </c>
      <c r="D13" s="13" t="s">
        <v>9</v>
      </c>
    </row>
    <row r="17" ht="11.25">
      <c r="C17" s="2"/>
    </row>
    <row r="18" ht="11.25">
      <c r="C18" s="3"/>
    </row>
    <row r="19" ht="11.25">
      <c r="C19" s="3"/>
    </row>
    <row r="20" ht="11.25">
      <c r="C20" s="3"/>
    </row>
  </sheetData>
  <sheetProtection sheet="1" objects="1" scenarios="1"/>
  <mergeCells count="1">
    <mergeCell ref="C12:F12"/>
  </mergeCells>
  <hyperlinks>
    <hyperlink ref="C12" location="HL_Home" tooltip="Go to Table of Contents" display="HL_Home"/>
    <hyperlink ref="C13" location="'Int_Rev_BO'!A1" tooltip="Go to Previous Sheet" display="'Int_Rev_BO'!A1"/>
    <hyperlink ref="D13" location="'Err_Chks_BO'!A1" tooltip="Go to Next Sheet" display="'Err_Chks_BO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M24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5" width="3.83203125" style="0" customWidth="1"/>
    <col min="6" max="16384" width="10.83203125" style="0" customWidth="1"/>
  </cols>
  <sheetData>
    <row r="1" spans="1:2" ht="18">
      <c r="A1" s="7" t="s">
        <v>121</v>
      </c>
      <c r="B1" s="1" t="s">
        <v>143</v>
      </c>
    </row>
    <row r="2" spans="1:2" ht="15.75">
      <c r="A2" s="47" t="s">
        <v>142</v>
      </c>
      <c r="B2" s="5" t="str">
        <f>Model_Name</f>
        <v>Circular Reference Model</v>
      </c>
    </row>
    <row r="3" spans="2:6" ht="11.25">
      <c r="B3" s="92" t="s">
        <v>1</v>
      </c>
      <c r="C3" s="92"/>
      <c r="D3" s="92"/>
      <c r="E3" s="92"/>
      <c r="F3" s="92"/>
    </row>
    <row r="4" spans="1:6" ht="12.75">
      <c r="A4" s="9" t="s">
        <v>4</v>
      </c>
      <c r="B4" s="12" t="s">
        <v>8</v>
      </c>
      <c r="C4" s="13" t="s">
        <v>9</v>
      </c>
      <c r="F4" s="18"/>
    </row>
    <row r="5" ht="11.25">
      <c r="B5" s="8"/>
    </row>
    <row r="7" ht="12.75">
      <c r="B7" s="10" t="s">
        <v>143</v>
      </c>
    </row>
    <row r="9" ht="17.25" customHeight="1">
      <c r="C9" s="33" t="b">
        <v>1</v>
      </c>
    </row>
    <row r="11" ht="12">
      <c r="C11" s="48" t="s">
        <v>144</v>
      </c>
    </row>
    <row r="13" spans="4:9" ht="11.25">
      <c r="D13" s="53" t="str">
        <f>D24</f>
        <v>Total Error Areas:</v>
      </c>
      <c r="I13" s="52">
        <f>Err_Chks_Ttl_Areas</f>
        <v>0</v>
      </c>
    </row>
    <row r="14" spans="4:9" ht="11.25">
      <c r="D14" s="2" t="s">
        <v>150</v>
      </c>
      <c r="I14" s="54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2">
      <c r="C16" s="48" t="s">
        <v>145</v>
      </c>
    </row>
    <row r="18" spans="4:13" ht="11.25">
      <c r="D18" s="2" t="s">
        <v>143</v>
      </c>
      <c r="K18" s="49" t="s">
        <v>146</v>
      </c>
      <c r="L18" s="49" t="s">
        <v>147</v>
      </c>
      <c r="M18" s="49" t="s">
        <v>148</v>
      </c>
    </row>
    <row r="20" spans="4:13" ht="11.25">
      <c r="D20" s="4" t="str">
        <f>IF(ISERROR(Int_Rev_BO!B1),"Miscellaneous Sheet",Int_Rev_BO!B1)</f>
        <v>Interest on Average Cash Balance Calculation</v>
      </c>
      <c r="E20" s="6"/>
      <c r="F20" s="6"/>
      <c r="G20" s="6"/>
      <c r="H20" s="6"/>
      <c r="I20" s="6"/>
      <c r="J20" s="6"/>
      <c r="K20" s="50">
        <f>IF(ISERROR(Int_Rev_BO!$M$43),1,(Int_Rev_BO!$M$43&lt;&gt;0)*1)</f>
        <v>0</v>
      </c>
      <c r="L20" s="51" t="s">
        <v>84</v>
      </c>
      <c r="M20" s="50">
        <f>K20*(L20=Yes)</f>
        <v>0</v>
      </c>
    </row>
    <row r="21" spans="4:13" ht="11.25">
      <c r="D21" s="4" t="str">
        <f>IF(ISERROR(Int_Rev_BO!B1),"Miscellaneous Sheet",Int_Rev_BO!B1)</f>
        <v>Interest on Average Cash Balance Calculation</v>
      </c>
      <c r="E21" s="6"/>
      <c r="F21" s="6"/>
      <c r="G21" s="6"/>
      <c r="H21" s="6"/>
      <c r="I21" s="6"/>
      <c r="J21" s="6"/>
      <c r="K21" s="50">
        <f>IF(ISERROR(Int_Rev_BO!$I$43),1,(Int_Rev_BO!$I$43&lt;&gt;0)*1)</f>
        <v>0</v>
      </c>
      <c r="L21" s="51" t="s">
        <v>84</v>
      </c>
      <c r="M21" s="50">
        <f>K21*(L21=Yes)</f>
        <v>0</v>
      </c>
    </row>
    <row r="22" spans="4:13" ht="11.25">
      <c r="D22" s="4" t="str">
        <f>IF(ISERROR(Int_Rev_BO!B1),"Miscellaneous Sheet",Int_Rev_BO!B1)</f>
        <v>Interest on Average Cash Balance Calculation</v>
      </c>
      <c r="E22" s="6"/>
      <c r="F22" s="6"/>
      <c r="G22" s="6"/>
      <c r="H22" s="6"/>
      <c r="I22" s="6"/>
      <c r="J22" s="6"/>
      <c r="K22" s="50">
        <f>IF(ISERROR(Int_Rev_BO!$K$43),1,(Int_Rev_BO!$K$43&lt;&gt;0)*1)</f>
        <v>0</v>
      </c>
      <c r="L22" s="51" t="s">
        <v>84</v>
      </c>
      <c r="M22" s="50">
        <f>K22*(L22=Yes)</f>
        <v>0</v>
      </c>
    </row>
    <row r="24" spans="4:13" ht="11.25">
      <c r="D24" s="2" t="s">
        <v>149</v>
      </c>
      <c r="M24" s="52">
        <f>SUMIF(CA_Err_Chks_Inc,Yes,CA_Err_Chks_Flags)</f>
        <v>0</v>
      </c>
    </row>
  </sheetData>
  <sheetProtection sheet="1" objects="1" scenarios="1"/>
  <mergeCells count="1">
    <mergeCell ref="B3:F3"/>
  </mergeCells>
  <conditionalFormatting sqref="D20:D22">
    <cfRule type="expression" priority="1" dxfId="1" stopIfTrue="1">
      <formula>K20&lt;&gt;0</formula>
    </cfRule>
  </conditionalFormatting>
  <conditionalFormatting sqref="L20:L22">
    <cfRule type="expression" priority="2" dxfId="1" stopIfTrue="1">
      <formula>K20&lt;&gt;0</formula>
    </cfRule>
  </conditionalFormatting>
  <conditionalFormatting sqref="M20:M22">
    <cfRule type="expression" priority="3" dxfId="1" stopIfTrue="1">
      <formula>K20&lt;&gt;0</formula>
    </cfRule>
  </conditionalFormatting>
  <conditionalFormatting sqref="M24 I13">
    <cfRule type="cellIs" priority="4" dxfId="0" operator="notEqual" stopIfTrue="1">
      <formula>0</formula>
    </cfRule>
  </conditionalFormatting>
  <conditionalFormatting sqref="K20:K22">
    <cfRule type="cellIs" priority="5" dxfId="1" operator="notEqual" stopIfTrue="1">
      <formula>0</formula>
    </cfRule>
  </conditionalFormatting>
  <dataValidations count="1">
    <dataValidation type="list" showErrorMessage="1" errorTitle="Include Error Check" error="The include error check trigger must correspond with one of the options provided in the drop down list." sqref="L20:L22">
      <formula1>LU_Yes_No</formula1>
    </dataValidation>
  </dataValidations>
  <hyperlinks>
    <hyperlink ref="D22:J22" location="LO_Err_Chks_Cust_1_Err_Chk" tooltip="Go to Interest Revenue Calculation" display="LO_Err_Chks_Cust_1_Err_Chk"/>
    <hyperlink ref="D21:J21" location="LO_Err_Chks_Cust_2_Err_Chk" tooltip="Go to Interest Revenue Calculation" display="LO_Err_Chks_Cust_2_Err_Chk"/>
    <hyperlink ref="D20:J20" location="LO_Err_Chks_Cust_3_Err_Chk" tooltip="Go to Interest Revenue Calculation" display="LO_Err_Chks_Cust_3_Err_Chk"/>
    <hyperlink ref="B3" location="HL_Home" tooltip="Go to Table of Contents" display="HL_Home"/>
    <hyperlink ref="A4" location="$B$5" tooltip="Go to Top of Sheet" display="$B$5"/>
    <hyperlink ref="B4" location="'Checks_SC'!A1" tooltip="Go to Previous Sheet" display="'Checks_SC'!A1"/>
    <hyperlink ref="C4" location="'Lookup_SC'!A1" tooltip="Go to Next Sheet" display="'Lookup_SC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2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83203125" style="0" customWidth="1"/>
    <col min="3" max="4" width="3.83203125" style="0" customWidth="1"/>
    <col min="5" max="16384" width="10.83203125" style="0" customWidth="1"/>
  </cols>
  <sheetData>
    <row r="1" ht="11.25">
      <c r="A1" s="7" t="s">
        <v>114</v>
      </c>
    </row>
    <row r="9" ht="18">
      <c r="C9" s="1" t="s">
        <v>117</v>
      </c>
    </row>
    <row r="10" ht="16.5">
      <c r="C10" s="17" t="s">
        <v>120</v>
      </c>
    </row>
    <row r="11" ht="15.75">
      <c r="C11" s="5" t="str">
        <f>Model_Name</f>
        <v>Circular Reference Model</v>
      </c>
    </row>
    <row r="12" spans="3:6" ht="11.25">
      <c r="C12" s="92" t="s">
        <v>1</v>
      </c>
      <c r="D12" s="92"/>
      <c r="E12" s="92"/>
      <c r="F12" s="92"/>
    </row>
    <row r="13" spans="3:4" ht="12.75">
      <c r="C13" s="12" t="s">
        <v>8</v>
      </c>
      <c r="D13" s="13" t="s">
        <v>9</v>
      </c>
    </row>
    <row r="17" ht="11.25">
      <c r="C17" s="2"/>
    </row>
    <row r="18" ht="11.25">
      <c r="C18" s="3"/>
    </row>
    <row r="19" ht="11.25">
      <c r="C19" s="3"/>
    </row>
    <row r="20" ht="11.25">
      <c r="C20" s="3"/>
    </row>
  </sheetData>
  <sheetProtection sheet="1" objects="1" scenarios="1"/>
  <mergeCells count="1">
    <mergeCell ref="C12:F12"/>
  </mergeCells>
  <hyperlinks>
    <hyperlink ref="C12" location="HL_Home" tooltip="Go to Table of Contents" display="HL_Home"/>
    <hyperlink ref="C13" location="'Err_Chks_BO'!A1" tooltip="Go to Previous Sheet" display="'Err_Chks_BO'!A1"/>
    <hyperlink ref="D13" location="'GL'!A1" tooltip="Go to Next Sheet" display="'GL'!A1"/>
  </hyperlinks>
  <printOptions/>
  <pageMargins left="0.393700787401575" right="0.393700787401575" top="0.5905511811023625" bottom="0.9842519685039375" header="0" footer="0.3149606299212597"/>
  <pageSetup fitToHeight="1" fitToWidth="1" horizontalDpi="300" verticalDpi="3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3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15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15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2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  <col min="256" max="16384" width="3.83203125" style="0" customWidth="1"/>
  </cols>
  <sheetData>
    <row r="1" spans="1:2" ht="18">
      <c r="A1" s="7" t="s">
        <v>113</v>
      </c>
      <c r="B1" s="1" t="s">
        <v>7</v>
      </c>
    </row>
    <row r="2" ht="15.75">
      <c r="B2" s="5" t="str">
        <f>Model_Name</f>
        <v>Circular Reference Model</v>
      </c>
    </row>
    <row r="3" spans="2:3" ht="11.25">
      <c r="B3" s="92" t="s">
        <v>1</v>
      </c>
      <c r="C3" s="92"/>
    </row>
    <row r="4" spans="1:3" ht="12.75">
      <c r="A4" s="9" t="s">
        <v>4</v>
      </c>
      <c r="B4" s="12" t="s">
        <v>8</v>
      </c>
      <c r="C4" s="13"/>
    </row>
    <row r="5" ht="11.25">
      <c r="B5" s="8"/>
    </row>
    <row r="7" spans="2:13" ht="12.75">
      <c r="B7" s="10" t="s">
        <v>10</v>
      </c>
      <c r="E7" s="10" t="s">
        <v>11</v>
      </c>
      <c r="F7" s="10" t="s">
        <v>55</v>
      </c>
      <c r="I7" s="10" t="s">
        <v>11</v>
      </c>
      <c r="J7" s="10" t="s">
        <v>86</v>
      </c>
      <c r="M7" s="10" t="s">
        <v>11</v>
      </c>
    </row>
    <row r="9" spans="3:13" ht="11.25">
      <c r="C9" s="14" t="s">
        <v>12</v>
      </c>
      <c r="E9" s="3" t="s">
        <v>13</v>
      </c>
      <c r="G9" s="14" t="s">
        <v>56</v>
      </c>
      <c r="I9" s="3" t="s">
        <v>57</v>
      </c>
      <c r="K9" s="14" t="s">
        <v>87</v>
      </c>
      <c r="M9" s="3" t="s">
        <v>88</v>
      </c>
    </row>
    <row r="10" spans="3:13" ht="11.25">
      <c r="C10" s="15" t="s">
        <v>14</v>
      </c>
      <c r="E10" s="3" t="s">
        <v>15</v>
      </c>
      <c r="G10" s="15" t="s">
        <v>58</v>
      </c>
      <c r="I10" s="3" t="s">
        <v>59</v>
      </c>
      <c r="K10" s="15" t="s">
        <v>89</v>
      </c>
      <c r="M10" s="3" t="s">
        <v>90</v>
      </c>
    </row>
    <row r="11" spans="3:13" ht="11.25">
      <c r="C11" s="15" t="s">
        <v>16</v>
      </c>
      <c r="E11" s="3" t="s">
        <v>17</v>
      </c>
      <c r="G11" s="15" t="s">
        <v>60</v>
      </c>
      <c r="I11" s="3" t="s">
        <v>61</v>
      </c>
      <c r="K11" s="15" t="s">
        <v>91</v>
      </c>
      <c r="M11" s="3" t="s">
        <v>92</v>
      </c>
    </row>
    <row r="12" spans="3:13" ht="11.25">
      <c r="C12" s="15" t="s">
        <v>18</v>
      </c>
      <c r="E12" s="3" t="s">
        <v>19</v>
      </c>
      <c r="G12" s="15" t="s">
        <v>62</v>
      </c>
      <c r="I12" s="3" t="s">
        <v>63</v>
      </c>
      <c r="K12" s="15" t="s">
        <v>93</v>
      </c>
      <c r="M12" s="3" t="s">
        <v>94</v>
      </c>
    </row>
    <row r="13" spans="3:13" ht="11.25">
      <c r="C13" s="15" t="s">
        <v>20</v>
      </c>
      <c r="E13" s="3" t="s">
        <v>21</v>
      </c>
      <c r="G13" s="15" t="s">
        <v>64</v>
      </c>
      <c r="I13" s="3" t="s">
        <v>65</v>
      </c>
      <c r="K13" s="15" t="s">
        <v>95</v>
      </c>
      <c r="M13" s="3" t="s">
        <v>96</v>
      </c>
    </row>
    <row r="14" spans="3:5" ht="11.25">
      <c r="C14" s="15" t="s">
        <v>22</v>
      </c>
      <c r="E14" s="3" t="s">
        <v>22</v>
      </c>
    </row>
    <row r="15" spans="3:5" ht="11.25">
      <c r="C15" s="15" t="s">
        <v>23</v>
      </c>
      <c r="E15" s="3" t="s">
        <v>24</v>
      </c>
    </row>
    <row r="16" spans="3:13" ht="12.75">
      <c r="C16" s="15" t="s">
        <v>25</v>
      </c>
      <c r="E16" s="3" t="s">
        <v>26</v>
      </c>
      <c r="F16" s="10" t="s">
        <v>66</v>
      </c>
      <c r="I16" s="10" t="s">
        <v>11</v>
      </c>
      <c r="J16" s="10" t="s">
        <v>97</v>
      </c>
      <c r="M16" s="10" t="s">
        <v>11</v>
      </c>
    </row>
    <row r="17" spans="3:5" ht="11.25">
      <c r="C17" s="15" t="s">
        <v>27</v>
      </c>
      <c r="E17" s="3" t="s">
        <v>28</v>
      </c>
    </row>
    <row r="18" spans="3:13" ht="11.25">
      <c r="C18" s="15" t="s">
        <v>29</v>
      </c>
      <c r="E18" s="3" t="s">
        <v>30</v>
      </c>
      <c r="G18" s="14" t="s">
        <v>67</v>
      </c>
      <c r="I18" s="3" t="s">
        <v>68</v>
      </c>
      <c r="K18" s="14" t="s">
        <v>98</v>
      </c>
      <c r="M18" s="3"/>
    </row>
    <row r="19" spans="3:13" ht="11.25">
      <c r="C19" s="15" t="s">
        <v>31</v>
      </c>
      <c r="E19" s="3" t="s">
        <v>32</v>
      </c>
      <c r="G19" s="15" t="s">
        <v>69</v>
      </c>
      <c r="I19" s="3" t="s">
        <v>70</v>
      </c>
      <c r="K19" s="16">
        <v>60</v>
      </c>
      <c r="M19" s="3" t="s">
        <v>99</v>
      </c>
    </row>
    <row r="20" spans="3:13" ht="11.25">
      <c r="C20" s="15" t="s">
        <v>33</v>
      </c>
      <c r="E20" s="3" t="s">
        <v>34</v>
      </c>
      <c r="G20" s="15" t="s">
        <v>49</v>
      </c>
      <c r="I20" s="3" t="s">
        <v>71</v>
      </c>
      <c r="K20" s="16">
        <v>60</v>
      </c>
      <c r="M20" s="3" t="s">
        <v>100</v>
      </c>
    </row>
    <row r="21" spans="3:13" ht="11.25">
      <c r="C21" s="15" t="s">
        <v>35</v>
      </c>
      <c r="E21" s="3" t="s">
        <v>36</v>
      </c>
      <c r="G21" s="15" t="s">
        <v>38</v>
      </c>
      <c r="I21" s="3" t="s">
        <v>72</v>
      </c>
      <c r="K21" s="16">
        <v>24</v>
      </c>
      <c r="M21" s="3" t="s">
        <v>101</v>
      </c>
    </row>
    <row r="22" spans="7:13" ht="11.25">
      <c r="G22" s="15" t="s">
        <v>12</v>
      </c>
      <c r="I22" s="3" t="s">
        <v>73</v>
      </c>
      <c r="K22" s="16">
        <v>7</v>
      </c>
      <c r="M22" s="3" t="s">
        <v>102</v>
      </c>
    </row>
    <row r="23" spans="11:13" ht="11.25">
      <c r="K23" s="16">
        <v>52</v>
      </c>
      <c r="M23" s="3" t="s">
        <v>103</v>
      </c>
    </row>
    <row r="24" spans="2:13" ht="12.75">
      <c r="B24" s="10" t="s">
        <v>37</v>
      </c>
      <c r="E24" s="10" t="s">
        <v>11</v>
      </c>
      <c r="K24" s="16">
        <v>3</v>
      </c>
      <c r="M24" s="3" t="s">
        <v>104</v>
      </c>
    </row>
    <row r="25" spans="6:13" ht="12.75">
      <c r="F25" s="10" t="s">
        <v>74</v>
      </c>
      <c r="I25" s="10" t="s">
        <v>11</v>
      </c>
      <c r="K25" s="16">
        <v>6</v>
      </c>
      <c r="M25" s="3" t="s">
        <v>105</v>
      </c>
    </row>
    <row r="26" spans="3:5" ht="11.25">
      <c r="C26" s="14" t="s">
        <v>38</v>
      </c>
      <c r="E26" s="3" t="s">
        <v>39</v>
      </c>
    </row>
    <row r="27" spans="3:9" ht="11.25">
      <c r="C27" s="15" t="s">
        <v>40</v>
      </c>
      <c r="E27" s="3" t="s">
        <v>41</v>
      </c>
      <c r="G27" s="14" t="s">
        <v>75</v>
      </c>
      <c r="I27" s="3" t="s">
        <v>76</v>
      </c>
    </row>
    <row r="28" spans="3:13" ht="12.75">
      <c r="C28" s="15" t="s">
        <v>42</v>
      </c>
      <c r="E28" s="3" t="s">
        <v>43</v>
      </c>
      <c r="G28" s="16">
        <v>1</v>
      </c>
      <c r="I28" s="3" t="s">
        <v>77</v>
      </c>
      <c r="J28" s="10" t="s">
        <v>106</v>
      </c>
      <c r="M28" s="10" t="s">
        <v>11</v>
      </c>
    </row>
    <row r="29" spans="3:9" ht="11.25">
      <c r="C29" s="15" t="s">
        <v>44</v>
      </c>
      <c r="E29" s="3" t="s">
        <v>45</v>
      </c>
      <c r="G29" s="16">
        <v>2</v>
      </c>
      <c r="I29" s="3" t="s">
        <v>78</v>
      </c>
    </row>
    <row r="30" spans="3:13" ht="11.25">
      <c r="C30" s="15" t="s">
        <v>46</v>
      </c>
      <c r="E30" s="3" t="s">
        <v>47</v>
      </c>
      <c r="G30" s="16">
        <v>4</v>
      </c>
      <c r="I30" s="3" t="s">
        <v>79</v>
      </c>
      <c r="K30" s="14" t="s">
        <v>107</v>
      </c>
      <c r="M30" s="3"/>
    </row>
    <row r="31" spans="7:13" ht="11.25">
      <c r="G31" s="16">
        <v>12</v>
      </c>
      <c r="I31" s="3" t="s">
        <v>80</v>
      </c>
      <c r="K31" s="16">
        <v>10</v>
      </c>
      <c r="M31" s="3" t="s">
        <v>108</v>
      </c>
    </row>
    <row r="32" spans="11:13" ht="11.25">
      <c r="K32" s="16">
        <v>100</v>
      </c>
      <c r="M32" s="3" t="s">
        <v>109</v>
      </c>
    </row>
    <row r="33" spans="2:13" ht="12.75">
      <c r="B33" s="10" t="s">
        <v>48</v>
      </c>
      <c r="E33" s="10" t="s">
        <v>11</v>
      </c>
      <c r="K33" s="16">
        <v>1000</v>
      </c>
      <c r="M33" s="3" t="s">
        <v>110</v>
      </c>
    </row>
    <row r="34" spans="6:13" ht="12.75">
      <c r="F34" s="10" t="s">
        <v>81</v>
      </c>
      <c r="I34" s="10" t="s">
        <v>11</v>
      </c>
      <c r="K34" s="16">
        <v>1000000</v>
      </c>
      <c r="M34" s="3" t="s">
        <v>111</v>
      </c>
    </row>
    <row r="35" spans="3:13" ht="11.25">
      <c r="C35" s="14" t="s">
        <v>49</v>
      </c>
      <c r="E35" s="3" t="s">
        <v>50</v>
      </c>
      <c r="K35" s="16">
        <v>1000000000</v>
      </c>
      <c r="M35" s="3" t="s">
        <v>112</v>
      </c>
    </row>
    <row r="36" spans="3:9" ht="11.25">
      <c r="C36" s="15" t="s">
        <v>51</v>
      </c>
      <c r="E36" s="3" t="s">
        <v>52</v>
      </c>
      <c r="G36" s="14" t="s">
        <v>82</v>
      </c>
      <c r="I36" s="3" t="s">
        <v>83</v>
      </c>
    </row>
    <row r="37" spans="3:9" ht="11.25">
      <c r="C37" s="15" t="s">
        <v>53</v>
      </c>
      <c r="E37" s="3" t="s">
        <v>54</v>
      </c>
      <c r="G37" s="15" t="s">
        <v>84</v>
      </c>
      <c r="I37" s="3" t="s">
        <v>84</v>
      </c>
    </row>
    <row r="38" spans="7:9" ht="11.25">
      <c r="G38" s="15" t="s">
        <v>85</v>
      </c>
      <c r="I38" s="3" t="s">
        <v>85</v>
      </c>
    </row>
  </sheetData>
  <sheetProtection sheet="1" objects="1" scenarios="1"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Lookup_SC'!A1" tooltip="Go to Previous Sheet" display="'Lookup_SC'!A1"/>
  </hyperlinks>
  <printOptions/>
  <pageMargins left="0.393700787401575" right="0.393700787401575" top="0.5905511811023625" bottom="0.9842519685039375" header="0" footer="0.3149606299212597"/>
  <pageSetup fitToHeight="1" fitToWidth="1" horizontalDpi="300" verticalDpi="300" orientation="landscape" paperSize="9" scale="95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Interest Revenue Example</dc:title>
  <dc:subject/>
  <dc:creator>Liam Bastick</dc:creator>
  <cp:keywords/>
  <dc:description/>
  <cp:lastModifiedBy>Dr Liam Bastick</cp:lastModifiedBy>
  <cp:lastPrinted>2010-04-02T20:37:59Z</cp:lastPrinted>
  <dcterms:created xsi:type="dcterms:W3CDTF">2006-05-29T02:40:01Z</dcterms:created>
  <dcterms:modified xsi:type="dcterms:W3CDTF">2010-04-02T20:38:02Z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